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65" yWindow="225" windowWidth="18825" windowHeight="11970" tabRatio="950"/>
  </bookViews>
  <sheets>
    <sheet name="Project_Data" sheetId="3" r:id="rId1"/>
    <sheet name="Data" sheetId="6" r:id="rId2"/>
    <sheet name="Minimum_Parallel_Setbacks" sheetId="1" r:id="rId3"/>
    <sheet name="Ditch_Area_Reducing" sheetId="5" r:id="rId4"/>
    <sheet name="Reduced_Setback" sheetId="2" r:id="rId5"/>
    <sheet name="Greatest_Transport" sheetId="9" r:id="rId6"/>
    <sheet name="Mean_Snow_Transport" sheetId="8" r:id="rId7"/>
    <sheet name="Fence_Height" sheetId="10" r:id="rId8"/>
    <sheet name="UOFM_Data" sheetId="11" r:id="rId9"/>
    <sheet name="WindMap" sheetId="12" r:id="rId10"/>
  </sheets>
  <calcPr calcId="145621"/>
</workbook>
</file>

<file path=xl/calcChain.xml><?xml version="1.0" encoding="utf-8"?>
<calcChain xmlns="http://schemas.openxmlformats.org/spreadsheetml/2006/main">
  <c r="B12" i="2" l="1"/>
  <c r="C21" i="10" l="1"/>
  <c r="C16" i="10"/>
  <c r="C20" i="10"/>
  <c r="C19" i="10"/>
  <c r="C18" i="10"/>
  <c r="C17" i="10"/>
  <c r="T37" i="3"/>
  <c r="A1" i="3"/>
  <c r="T51" i="3" l="1"/>
  <c r="T45" i="3"/>
  <c r="E17" i="1" l="1"/>
  <c r="E8" i="10"/>
  <c r="E7" i="10"/>
  <c r="E6" i="10"/>
  <c r="C11" i="8"/>
  <c r="C10" i="8"/>
  <c r="C9" i="8"/>
  <c r="C8" i="8"/>
  <c r="C12" i="8" l="1"/>
  <c r="C22" i="10"/>
  <c r="C23" i="10" s="1"/>
  <c r="C41" i="6" l="1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12" i="2"/>
  <c r="E15" i="5"/>
  <c r="C10" i="5"/>
  <c r="H19" i="5" s="1"/>
  <c r="E11" i="5" s="1"/>
  <c r="N44" i="3" l="1"/>
  <c r="J44" i="3"/>
  <c r="H21" i="5"/>
  <c r="L44" i="3"/>
  <c r="D12" i="2"/>
  <c r="P51" i="3" s="1"/>
  <c r="P52" i="3" s="1"/>
  <c r="P53" i="3" s="1"/>
  <c r="H23" i="5" l="1"/>
  <c r="P44" i="3" s="1"/>
  <c r="C17" i="1" l="1"/>
  <c r="D17" i="1" l="1"/>
  <c r="F17" i="1" s="1"/>
  <c r="P38" i="3" l="1"/>
  <c r="P39" i="3" s="1"/>
  <c r="P36" i="3"/>
  <c r="P45" i="3" s="1"/>
  <c r="P46" i="3" s="1"/>
  <c r="P47" i="3" s="1"/>
</calcChain>
</file>

<file path=xl/sharedStrings.xml><?xml version="1.0" encoding="utf-8"?>
<sst xmlns="http://schemas.openxmlformats.org/spreadsheetml/2006/main" count="198" uniqueCount="135">
  <si>
    <t>Measured perpendicular to the road</t>
  </si>
  <si>
    <t>setbacks are on the order of 20 to35H pepending on porosity</t>
  </si>
  <si>
    <t>Minimum Setback for Parallel Fense to road</t>
  </si>
  <si>
    <t>H=Fence design height</t>
  </si>
  <si>
    <t>a= attack angle</t>
  </si>
  <si>
    <t>P=Porosity</t>
  </si>
  <si>
    <t>d=setback distance</t>
  </si>
  <si>
    <t>Fence Design Height</t>
  </si>
  <si>
    <t>Attack Angle</t>
  </si>
  <si>
    <t>Porosity</t>
  </si>
  <si>
    <t>What is the Fence Disgn Height?</t>
  </si>
  <si>
    <t>What is the Attack Angle?</t>
  </si>
  <si>
    <t>What is the Fence Design Porosity</t>
  </si>
  <si>
    <t>SetBack Distance from Shoulder PI</t>
  </si>
  <si>
    <t>L=length of the downwind drift</t>
  </si>
  <si>
    <t>H=Fence height</t>
  </si>
  <si>
    <t>A=Cross-sectional area of the downwind drift at a given time</t>
  </si>
  <si>
    <t>A€= Cross-sectional are of the equilibrium drift</t>
  </si>
  <si>
    <t>=</t>
  </si>
  <si>
    <t>A=</t>
  </si>
  <si>
    <t>L=</t>
  </si>
  <si>
    <t>feet</t>
  </si>
  <si>
    <t>H(10.5+6.6(A/Ae)+17.2((A/Ae)sq))</t>
  </si>
  <si>
    <t>Cross Section of equilibrium drift</t>
  </si>
  <si>
    <t>What is the Fence over Design Height?</t>
  </si>
  <si>
    <t>What is the shorten distance of an over Designed Snow Fence</t>
  </si>
  <si>
    <t>Project Data</t>
  </si>
  <si>
    <t>Project #</t>
  </si>
  <si>
    <t>Feet</t>
  </si>
  <si>
    <t>Setbacks are from shoulder PI</t>
  </si>
  <si>
    <t>Page 200</t>
  </si>
  <si>
    <t>Reducing Setbacks by Over-Designing Height</t>
  </si>
  <si>
    <t>page 202</t>
  </si>
  <si>
    <t>What is the ditch depth?</t>
  </si>
  <si>
    <t>Rise</t>
  </si>
  <si>
    <t>Run</t>
  </si>
  <si>
    <t>What is the Inslope?</t>
  </si>
  <si>
    <t>What is the Backslope?</t>
  </si>
  <si>
    <t>Area of Drift Downwind of Fence</t>
  </si>
  <si>
    <t>Area of Drift down wind of fence</t>
  </si>
  <si>
    <t>A=21.5(H)sq</t>
  </si>
  <si>
    <t>A</t>
  </si>
  <si>
    <t>Area of downwind drift</t>
  </si>
  <si>
    <t>H=</t>
  </si>
  <si>
    <t>Height of design fence</t>
  </si>
  <si>
    <t>A=21.5(</t>
  </si>
  <si>
    <t>)sq</t>
  </si>
  <si>
    <t>sqft</t>
  </si>
  <si>
    <t>SqFt</t>
  </si>
  <si>
    <t xml:space="preserve">Area of the Snow Control Graded Ditch </t>
  </si>
  <si>
    <t>length * Width</t>
  </si>
  <si>
    <t xml:space="preserve">Area of Downwind Drift = </t>
  </si>
  <si>
    <t>Area of Snow Control Ditch=</t>
  </si>
  <si>
    <t>Snow Storage of Drift with Snow Control Ditch =</t>
  </si>
  <si>
    <t>+</t>
  </si>
  <si>
    <t>(</t>
  </si>
  <si>
    <t>/(</t>
  </si>
  <si>
    <t>))=</t>
  </si>
  <si>
    <t>S  =  Snowfall over Snow Accumulation Seasonal</t>
  </si>
  <si>
    <t>:</t>
  </si>
  <si>
    <t>SWE = Snow Water Equivalent Ratio</t>
  </si>
  <si>
    <t>r = Relocation Coefficient</t>
  </si>
  <si>
    <t>Direction of greatest snow transport</t>
  </si>
  <si>
    <t>tons/foot</t>
  </si>
  <si>
    <t>P = Porosity</t>
  </si>
  <si>
    <t>Q = Mean seasonal snow transport</t>
  </si>
  <si>
    <t>H = Fence Height</t>
  </si>
  <si>
    <t>Hp = Fence Height of</t>
  </si>
  <si>
    <r>
      <t>Q</t>
    </r>
    <r>
      <rPr>
        <b/>
        <vertAlign val="subscript"/>
        <sz val="9"/>
        <color theme="1"/>
        <rFont val="Verdana"/>
        <family val="2"/>
      </rPr>
      <t>t</t>
    </r>
    <r>
      <rPr>
        <b/>
        <sz val="9"/>
        <color theme="1"/>
        <rFont val="Verdana"/>
        <family val="2"/>
      </rPr>
      <t xml:space="preserve"> = 1500 (S)(SWE)(r)(1-0.14</t>
    </r>
    <r>
      <rPr>
        <b/>
        <vertAlign val="superscript"/>
        <sz val="9"/>
        <color theme="1"/>
        <rFont val="Verdana"/>
        <family val="2"/>
      </rPr>
      <t>F/3000</t>
    </r>
    <r>
      <rPr>
        <b/>
        <sz val="9"/>
        <color theme="1"/>
        <rFont val="Verdana"/>
        <family val="2"/>
      </rPr>
      <t>)</t>
    </r>
  </si>
  <si>
    <t>Formula for Mean Seasonal Snow Transport</t>
  </si>
  <si>
    <t>S = mean snowfall over SAS (ft) =</t>
  </si>
  <si>
    <t>SWE = mean snow water equivalent =</t>
  </si>
  <si>
    <t>r = relocation factor =</t>
  </si>
  <si>
    <t>F = fetch distance in meters =</t>
  </si>
  <si>
    <r>
      <t>Q</t>
    </r>
    <r>
      <rPr>
        <vertAlign val="subscript"/>
        <sz val="9"/>
        <color theme="1"/>
        <rFont val="Verdana"/>
        <family val="2"/>
      </rPr>
      <t>t</t>
    </r>
    <r>
      <rPr>
        <sz val="9"/>
        <color theme="1"/>
        <rFont val="Verdana"/>
        <family val="2"/>
      </rPr>
      <t xml:space="preserve"> = mean seasonal snow transport (t/m) =</t>
    </r>
  </si>
  <si>
    <t>direction of greatest potential snow transport was calculated</t>
  </si>
  <si>
    <t>Formula for Snow Fence Height</t>
  </si>
  <si>
    <r>
      <t>H = [Qt/(3+4P+44P</t>
    </r>
    <r>
      <rPr>
        <b/>
        <vertAlign val="superscript"/>
        <sz val="9"/>
        <color theme="1"/>
        <rFont val="Verdana"/>
        <family val="2"/>
      </rPr>
      <t>2</t>
    </r>
    <r>
      <rPr>
        <b/>
        <sz val="9"/>
        <color theme="1"/>
        <rFont val="Verdana"/>
        <family val="2"/>
      </rPr>
      <t>-60P</t>
    </r>
    <r>
      <rPr>
        <b/>
        <vertAlign val="superscript"/>
        <sz val="9"/>
        <color theme="1"/>
        <rFont val="Verdana"/>
        <family val="2"/>
      </rPr>
      <t>3</t>
    </r>
    <r>
      <rPr>
        <b/>
        <sz val="9"/>
        <color theme="1"/>
        <rFont val="Verdana"/>
        <family val="2"/>
      </rPr>
      <t>)]</t>
    </r>
    <r>
      <rPr>
        <b/>
        <vertAlign val="superscript"/>
        <sz val="9"/>
        <color theme="1"/>
        <rFont val="Verdana"/>
        <family val="2"/>
      </rPr>
      <t>0.455</t>
    </r>
  </si>
  <si>
    <t>P = porosity (decimal)</t>
  </si>
  <si>
    <t>H = Fence height (feet)</t>
  </si>
  <si>
    <t>Qt = snow transport (t/ft)</t>
  </si>
  <si>
    <t>F = Fetch Distance</t>
  </si>
  <si>
    <t>decimal</t>
  </si>
  <si>
    <t>degree</t>
  </si>
  <si>
    <t>Page 50</t>
  </si>
  <si>
    <r>
      <t>44P</t>
    </r>
    <r>
      <rPr>
        <b/>
        <vertAlign val="superscript"/>
        <sz val="9"/>
        <color theme="1"/>
        <rFont val="Verdana"/>
        <family val="2"/>
      </rPr>
      <t>2=</t>
    </r>
  </si>
  <si>
    <r>
      <t>P</t>
    </r>
    <r>
      <rPr>
        <b/>
        <vertAlign val="superscript"/>
        <sz val="9"/>
        <color theme="1"/>
        <rFont val="Verdana"/>
        <family val="2"/>
      </rPr>
      <t>3=</t>
    </r>
  </si>
  <si>
    <r>
      <t>60P</t>
    </r>
    <r>
      <rPr>
        <b/>
        <vertAlign val="superscript"/>
        <sz val="9"/>
        <color theme="1"/>
        <rFont val="Verdana"/>
        <family val="2"/>
      </rPr>
      <t>3=</t>
    </r>
  </si>
  <si>
    <r>
      <t>(3+4P+44P</t>
    </r>
    <r>
      <rPr>
        <b/>
        <vertAlign val="superscript"/>
        <sz val="9"/>
        <color theme="1"/>
        <rFont val="Verdana"/>
        <family val="2"/>
      </rPr>
      <t>2</t>
    </r>
    <r>
      <rPr>
        <b/>
        <sz val="9"/>
        <color theme="1"/>
        <rFont val="Verdana"/>
        <family val="2"/>
      </rPr>
      <t>-60P</t>
    </r>
    <r>
      <rPr>
        <b/>
        <vertAlign val="superscript"/>
        <sz val="9"/>
        <color theme="1"/>
        <rFont val="Verdana"/>
        <family val="2"/>
      </rPr>
      <t>3</t>
    </r>
    <r>
      <rPr>
        <b/>
        <sz val="9"/>
        <color theme="1"/>
        <rFont val="Verdana"/>
        <family val="2"/>
      </rPr>
      <t>)=</t>
    </r>
  </si>
  <si>
    <r>
      <t>[Qt/(3+4P+44P</t>
    </r>
    <r>
      <rPr>
        <b/>
        <vertAlign val="superscript"/>
        <sz val="9"/>
        <color theme="1"/>
        <rFont val="Verdana"/>
        <family val="2"/>
      </rPr>
      <t>2</t>
    </r>
    <r>
      <rPr>
        <b/>
        <sz val="9"/>
        <color theme="1"/>
        <rFont val="Verdana"/>
        <family val="2"/>
      </rPr>
      <t>-60P</t>
    </r>
    <r>
      <rPr>
        <b/>
        <vertAlign val="superscript"/>
        <sz val="9"/>
        <color theme="1"/>
        <rFont val="Verdana"/>
        <family val="2"/>
      </rPr>
      <t>3</t>
    </r>
    <r>
      <rPr>
        <b/>
        <sz val="9"/>
        <color theme="1"/>
        <rFont val="Verdana"/>
        <family val="2"/>
      </rPr>
      <t>)]=</t>
    </r>
  </si>
  <si>
    <r>
      <t>[Qt/(3+4P+44P</t>
    </r>
    <r>
      <rPr>
        <b/>
        <vertAlign val="superscript"/>
        <sz val="9"/>
        <color theme="1"/>
        <rFont val="Verdana"/>
        <family val="2"/>
      </rPr>
      <t>2</t>
    </r>
    <r>
      <rPr>
        <b/>
        <sz val="9"/>
        <color theme="1"/>
        <rFont val="Verdana"/>
        <family val="2"/>
      </rPr>
      <t>-60P</t>
    </r>
    <r>
      <rPr>
        <b/>
        <vertAlign val="superscript"/>
        <sz val="9"/>
        <color theme="1"/>
        <rFont val="Verdana"/>
        <family val="2"/>
      </rPr>
      <t>3</t>
    </r>
    <r>
      <rPr>
        <b/>
        <sz val="9"/>
        <color theme="1"/>
        <rFont val="Verdana"/>
        <family val="2"/>
      </rPr>
      <t>)]</t>
    </r>
    <r>
      <rPr>
        <b/>
        <vertAlign val="superscript"/>
        <sz val="9"/>
        <color theme="1"/>
        <rFont val="Verdana"/>
        <family val="2"/>
      </rPr>
      <t>0.455=</t>
    </r>
  </si>
  <si>
    <r>
      <t>P</t>
    </r>
    <r>
      <rPr>
        <b/>
        <vertAlign val="superscript"/>
        <sz val="9"/>
        <color theme="1"/>
        <rFont val="Verdana"/>
        <family val="2"/>
      </rPr>
      <t>2 =</t>
    </r>
  </si>
  <si>
    <t>At a Height of</t>
  </si>
  <si>
    <r>
      <t>D = H ((sin</t>
    </r>
    <r>
      <rPr>
        <b/>
        <i/>
        <sz val="9"/>
        <color theme="1"/>
        <rFont val="Symbol"/>
        <family val="1"/>
        <charset val="2"/>
      </rPr>
      <t>a</t>
    </r>
    <r>
      <rPr>
        <b/>
        <sz val="9"/>
        <color theme="1"/>
        <rFont val="Verdana"/>
        <family val="2"/>
      </rPr>
      <t>) (12 + 49P + 7P</t>
    </r>
    <r>
      <rPr>
        <b/>
        <vertAlign val="superscript"/>
        <sz val="9"/>
        <color theme="1"/>
        <rFont val="Verdana"/>
        <family val="2"/>
      </rPr>
      <t>2</t>
    </r>
    <r>
      <rPr>
        <b/>
        <sz val="9"/>
        <color theme="1"/>
        <rFont val="Verdana"/>
        <family val="2"/>
      </rPr>
      <t xml:space="preserve"> - 37P</t>
    </r>
    <r>
      <rPr>
        <b/>
        <vertAlign val="superscript"/>
        <sz val="9"/>
        <color theme="1"/>
        <rFont val="Verdana"/>
        <family val="2"/>
      </rPr>
      <t>3</t>
    </r>
    <r>
      <rPr>
        <b/>
        <sz val="9"/>
        <color theme="1"/>
        <rFont val="Verdana"/>
        <family val="2"/>
      </rPr>
      <t>))</t>
    </r>
  </si>
  <si>
    <t>Design enhansments to the Uof M Recommendation</t>
  </si>
  <si>
    <t>Analysis of Snow Climatolory</t>
  </si>
  <si>
    <t>A)  Enter the data from the U of M's Analysis of Snow Climatology Web Site</t>
  </si>
  <si>
    <t>A.)</t>
  </si>
  <si>
    <t>B.)</t>
  </si>
  <si>
    <t>C.)</t>
  </si>
  <si>
    <t xml:space="preserve">C.) Reducing the setback distance of U of M recommendation by Over-Designing Fence Height: </t>
  </si>
  <si>
    <t>B.) Reducing the setback distance of U of M recommendation by Snow Control Ditch Grading Ditch:</t>
  </si>
  <si>
    <t>Reducing Right-of-way taking by recalculating adding a Snow Control ditch grading</t>
  </si>
  <si>
    <t>U of M Snow Fence Data</t>
  </si>
  <si>
    <t>MnDOT Data</t>
  </si>
  <si>
    <t>Project Location</t>
  </si>
  <si>
    <t>Lane width</t>
  </si>
  <si>
    <t>Shoulder width</t>
  </si>
  <si>
    <t>Shoulder PI width</t>
  </si>
  <si>
    <t>1.) What is the U of M's recommendated setback for a "Single Parallel Fence Placement" from Shoulder PI?</t>
  </si>
  <si>
    <t>1.) Precentage of final row length.</t>
  </si>
  <si>
    <t>3.) Snow Fence Setback with Maintenance Access from Shoulder PI</t>
  </si>
  <si>
    <t>2.) Snow Fence Setback with Maintenance Access from Shoulder PI</t>
  </si>
  <si>
    <t>3.) Total Right-of-Way from center line</t>
  </si>
  <si>
    <t>4.) Total Right-of-Way from center line</t>
  </si>
  <si>
    <t>2.) Snow Fence Setback Distance from Shoulder PI.</t>
  </si>
  <si>
    <t>1.) Snow Fence Setback Distance with new fence hight from Shoulder PI.</t>
  </si>
  <si>
    <t>Reducing Right-of-way further by Over-Designing Fence Height</t>
  </si>
  <si>
    <t>What is the ditch bottom width?</t>
  </si>
  <si>
    <r>
      <t>Q</t>
    </r>
    <r>
      <rPr>
        <vertAlign val="subscript"/>
        <sz val="10"/>
        <color theme="1"/>
        <rFont val="Verdana"/>
        <family val="2"/>
      </rPr>
      <t>upot</t>
    </r>
    <r>
      <rPr>
        <sz val="10"/>
        <color theme="1"/>
        <rFont val="Verdana"/>
        <family val="2"/>
      </rPr>
      <t xml:space="preserve"> = (</t>
    </r>
    <r>
      <rPr>
        <i/>
        <sz val="10"/>
        <color theme="1"/>
        <rFont val="Verdana"/>
        <family val="2"/>
      </rPr>
      <t>u</t>
    </r>
    <r>
      <rPr>
        <i/>
        <vertAlign val="subscript"/>
        <sz val="10"/>
        <color theme="1"/>
        <rFont val="Verdana"/>
        <family val="2"/>
      </rPr>
      <t>i</t>
    </r>
    <r>
      <rPr>
        <vertAlign val="superscript"/>
        <sz val="10"/>
        <color theme="1"/>
        <rFont val="Verdana"/>
        <family val="2"/>
      </rPr>
      <t>3.8</t>
    </r>
    <r>
      <rPr>
        <sz val="10"/>
        <color theme="1"/>
        <rFont val="Verdana"/>
        <family val="2"/>
      </rPr>
      <t>/233847)(</t>
    </r>
    <r>
      <rPr>
        <i/>
        <sz val="10"/>
        <color theme="1"/>
        <rFont val="Verdana"/>
        <family val="2"/>
      </rPr>
      <t>f</t>
    </r>
    <r>
      <rPr>
        <sz val="10"/>
        <color theme="1"/>
        <rFont val="Verdana"/>
        <family val="2"/>
      </rPr>
      <t>)(86400)(</t>
    </r>
    <r>
      <rPr>
        <i/>
        <sz val="10"/>
        <color theme="1"/>
        <rFont val="Verdana"/>
        <family val="2"/>
      </rPr>
      <t>n</t>
    </r>
    <r>
      <rPr>
        <sz val="10"/>
        <color theme="1"/>
        <rFont val="Verdana"/>
        <family val="2"/>
      </rPr>
      <t>)</t>
    </r>
  </si>
  <si>
    <r>
      <t>u</t>
    </r>
    <r>
      <rPr>
        <i/>
        <vertAlign val="subscript"/>
        <sz val="10"/>
        <color theme="1"/>
        <rFont val="Verdana"/>
        <family val="2"/>
      </rPr>
      <t>i</t>
    </r>
    <r>
      <rPr>
        <sz val="10"/>
        <color theme="1"/>
        <rFont val="Verdana"/>
        <family val="2"/>
      </rPr>
      <t xml:space="preserve"> = is the midpoint of the </t>
    </r>
    <r>
      <rPr>
        <i/>
        <sz val="10"/>
        <color theme="1"/>
        <rFont val="Verdana"/>
        <family val="2"/>
      </rPr>
      <t>ith</t>
    </r>
    <r>
      <rPr>
        <sz val="10"/>
        <color theme="1"/>
        <rFont val="Verdana"/>
        <family val="2"/>
      </rPr>
      <t xml:space="preserve"> 10-m wind speed class.</t>
    </r>
  </si>
  <si>
    <r>
      <t>f</t>
    </r>
    <r>
      <rPr>
        <sz val="10"/>
        <color theme="1"/>
        <rFont val="Verdana"/>
        <family val="2"/>
      </rPr>
      <t xml:space="preserve">   = is the frequency of observations within the </t>
    </r>
    <r>
      <rPr>
        <i/>
        <sz val="10"/>
        <color theme="1"/>
        <rFont val="Verdana"/>
        <family val="2"/>
      </rPr>
      <t>u</t>
    </r>
    <r>
      <rPr>
        <i/>
        <vertAlign val="subscript"/>
        <sz val="10"/>
        <color theme="1"/>
        <rFont val="Verdana"/>
        <family val="2"/>
      </rPr>
      <t>i</t>
    </r>
    <r>
      <rPr>
        <sz val="10"/>
        <color theme="1"/>
        <rFont val="Verdana"/>
        <family val="2"/>
      </rPr>
      <t xml:space="preserve"> wind class over a month having </t>
    </r>
    <r>
      <rPr>
        <i/>
        <sz val="10"/>
        <color theme="1"/>
        <rFont val="Verdana"/>
        <family val="2"/>
      </rPr>
      <t>n</t>
    </r>
    <r>
      <rPr>
        <sz val="10"/>
        <color theme="1"/>
        <rFont val="Verdana"/>
        <family val="2"/>
      </rPr>
      <t xml:space="preserve"> days.</t>
    </r>
  </si>
  <si>
    <r>
      <rPr>
        <sz val="10"/>
        <color theme="1"/>
        <rFont val="Verdana"/>
        <family val="2"/>
      </rPr>
      <t xml:space="preserve">n  = a month having </t>
    </r>
    <r>
      <rPr>
        <i/>
        <sz val="10"/>
        <color theme="1"/>
        <rFont val="Verdana"/>
        <family val="2"/>
      </rPr>
      <t>n</t>
    </r>
    <r>
      <rPr>
        <sz val="10"/>
        <color theme="1"/>
        <rFont val="Verdana"/>
        <family val="2"/>
      </rPr>
      <t xml:space="preserve"> days.</t>
    </r>
  </si>
  <si>
    <r>
      <t>Q</t>
    </r>
    <r>
      <rPr>
        <vertAlign val="subscript"/>
        <sz val="10"/>
        <color theme="1"/>
        <rFont val="Verdana"/>
        <family val="2"/>
      </rPr>
      <t>upot</t>
    </r>
    <r>
      <rPr>
        <sz val="10"/>
        <color theme="1"/>
        <rFont val="Verdana"/>
        <family val="2"/>
      </rPr>
      <t xml:space="preserve"> is the potential snow transport in kg/m downwind from a fetch of infinite extent with an unlimited snow cover.</t>
    </r>
  </si>
  <si>
    <t>(4P) =</t>
  </si>
  <si>
    <t>Degrees</t>
  </si>
  <si>
    <t>Percentage</t>
  </si>
  <si>
    <t>(A/Ae)</t>
  </si>
  <si>
    <t>14(H)</t>
  </si>
  <si>
    <t>18(h)</t>
  </si>
  <si>
    <t>12(H)</t>
  </si>
  <si>
    <t>13(H)</t>
  </si>
  <si>
    <t>16(H)</t>
  </si>
  <si>
    <t>(A/Ae) Defult setting is set to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</si>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</sst>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vertAlign val="subscript"/>
      <sz val="9"/>
      <color theme="1"/>
      <name val="Verdana"/>
      <family val="2"/>
    </font>
    <font>
      <sz val="14"/>
      <color rgb="FF333399"/>
      <name val="Verdana"/>
      <family val="2"/>
    </font>
    <font>
      <b/>
      <vertAlign val="subscript"/>
      <sz val="9"/>
      <color theme="1"/>
      <name val="Verdana"/>
      <family val="2"/>
    </font>
    <font>
      <b/>
      <vertAlign val="superscript"/>
      <sz val="9"/>
      <color theme="1"/>
      <name val="Verdana"/>
      <family val="2"/>
    </font>
    <font>
      <b/>
      <i/>
      <sz val="9"/>
      <color theme="1"/>
      <name val="Symbol"/>
      <family val="1"/>
      <charset val="2"/>
    </font>
    <font>
      <sz val="14"/>
      <color rgb="FF0070C0"/>
      <name val="Verdana"/>
      <family val="2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vertAlign val="subscript"/>
      <sz val="10"/>
      <color theme="1"/>
      <name val="Verdana"/>
      <family val="2"/>
    </font>
    <font>
      <i/>
      <sz val="10"/>
      <color theme="1"/>
      <name val="Verdana"/>
      <family val="2"/>
    </font>
    <font>
      <i/>
      <vertAlign val="subscript"/>
      <sz val="10"/>
      <color theme="1"/>
      <name val="Verdana"/>
      <family val="2"/>
    </font>
    <font>
      <vertAlign val="superscript"/>
      <sz val="10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Alignment="1">
      <alignment horizontal="right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9" xfId="0" applyFill="1" applyBorder="1"/>
    <xf numFmtId="0" fontId="0" fillId="3" borderId="20" xfId="0" applyFill="1" applyBorder="1"/>
    <xf numFmtId="0" fontId="0" fillId="3" borderId="18" xfId="0" applyFill="1" applyBorder="1"/>
    <xf numFmtId="0" fontId="0" fillId="3" borderId="21" xfId="0" applyFill="1" applyBorder="1" applyAlignment="1">
      <alignment horizontal="right" vertical="center"/>
    </xf>
    <xf numFmtId="0" fontId="0" fillId="3" borderId="22" xfId="0" applyFill="1" applyBorder="1" applyAlignment="1">
      <alignment horizontal="left" vertical="center"/>
    </xf>
    <xf numFmtId="0" fontId="0" fillId="6" borderId="0" xfId="0" applyFill="1"/>
    <xf numFmtId="0" fontId="0" fillId="6" borderId="0" xfId="0" applyFill="1" applyAlignment="1">
      <alignment horizontal="right" vertical="center"/>
    </xf>
    <xf numFmtId="0" fontId="0" fillId="6" borderId="0" xfId="0" applyFill="1" applyAlignment="1">
      <alignment horizontal="right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 vertical="center"/>
    </xf>
    <xf numFmtId="2" fontId="0" fillId="6" borderId="0" xfId="0" applyNumberFormat="1" applyFill="1"/>
    <xf numFmtId="16" fontId="0" fillId="6" borderId="0" xfId="0" applyNumberFormat="1" applyFill="1"/>
    <xf numFmtId="1" fontId="0" fillId="7" borderId="4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0" fillId="7" borderId="6" xfId="0" applyNumberForma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top" wrapText="1"/>
    </xf>
    <xf numFmtId="0" fontId="10" fillId="6" borderId="0" xfId="0" applyFont="1" applyFill="1" applyAlignment="1">
      <alignment vertical="center"/>
    </xf>
    <xf numFmtId="0" fontId="8" fillId="6" borderId="0" xfId="0" applyFont="1" applyFill="1" applyAlignment="1">
      <alignment vertical="center" wrapText="1"/>
    </xf>
    <xf numFmtId="0" fontId="0" fillId="6" borderId="0" xfId="0" applyFill="1" applyAlignment="1">
      <alignment horizontal="left" vertical="center" wrapText="1" indent="1"/>
    </xf>
    <xf numFmtId="0" fontId="2" fillId="6" borderId="0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horizontal="right" vertical="center" wrapText="1" indent="1"/>
    </xf>
    <xf numFmtId="0" fontId="0" fillId="3" borderId="0" xfId="0" applyFill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7" fillId="5" borderId="0" xfId="0" applyFont="1" applyFill="1" applyAlignment="1">
      <alignment horizontal="right" vertical="center" wrapText="1" indent="1"/>
    </xf>
    <xf numFmtId="164" fontId="0" fillId="3" borderId="0" xfId="0" applyNumberFormat="1" applyFill="1" applyAlignment="1">
      <alignment horizontal="center"/>
    </xf>
    <xf numFmtId="2" fontId="7" fillId="0" borderId="0" xfId="0" applyNumberFormat="1" applyFont="1" applyAlignment="1">
      <alignment vertical="center" wrapText="1"/>
    </xf>
    <xf numFmtId="0" fontId="7" fillId="6" borderId="0" xfId="0" applyFont="1" applyFill="1" applyAlignment="1">
      <alignment vertical="center" wrapText="1"/>
    </xf>
    <xf numFmtId="2" fontId="7" fillId="7" borderId="0" xfId="0" applyNumberFormat="1" applyFont="1" applyFill="1" applyAlignment="1">
      <alignment vertical="center" wrapText="1"/>
    </xf>
    <xf numFmtId="2" fontId="7" fillId="3" borderId="0" xfId="0" applyNumberFormat="1" applyFont="1" applyFill="1" applyAlignment="1">
      <alignment vertical="center" wrapText="1"/>
    </xf>
    <xf numFmtId="0" fontId="8" fillId="6" borderId="0" xfId="0" applyFont="1" applyFill="1" applyAlignment="1"/>
    <xf numFmtId="0" fontId="0" fillId="6" borderId="0" xfId="0" applyFill="1" applyBorder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0" fillId="3" borderId="0" xfId="0" applyFill="1"/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Protection="1">
      <protection locked="0"/>
    </xf>
    <xf numFmtId="0" fontId="0" fillId="8" borderId="41" xfId="0" applyFill="1" applyBorder="1" applyProtection="1">
      <protection locked="0"/>
    </xf>
    <xf numFmtId="0" fontId="0" fillId="8" borderId="47" xfId="0" applyFill="1" applyBorder="1" applyProtection="1">
      <protection locked="0"/>
    </xf>
    <xf numFmtId="0" fontId="0" fillId="8" borderId="48" xfId="0" applyFill="1" applyBorder="1" applyProtection="1">
      <protection locked="0"/>
    </xf>
    <xf numFmtId="0" fontId="0" fillId="8" borderId="46" xfId="0" applyFill="1" applyBorder="1" applyProtection="1">
      <protection locked="0"/>
    </xf>
    <xf numFmtId="0" fontId="0" fillId="8" borderId="0" xfId="0" applyFill="1" applyBorder="1" applyProtection="1">
      <protection locked="0"/>
    </xf>
    <xf numFmtId="0" fontId="0" fillId="8" borderId="40" xfId="0" applyFill="1" applyBorder="1" applyProtection="1">
      <protection locked="0"/>
    </xf>
    <xf numFmtId="0" fontId="2" fillId="8" borderId="46" xfId="0" applyFont="1" applyFill="1" applyBorder="1" applyProtection="1">
      <protection locked="0"/>
    </xf>
    <xf numFmtId="0" fontId="2" fillId="8" borderId="0" xfId="0" applyFont="1" applyFill="1" applyBorder="1" applyProtection="1">
      <protection locked="0"/>
    </xf>
    <xf numFmtId="0" fontId="2" fillId="8" borderId="40" xfId="0" applyFont="1" applyFill="1" applyBorder="1" applyProtection="1">
      <protection locked="0"/>
    </xf>
    <xf numFmtId="0" fontId="2" fillId="4" borderId="0" xfId="0" applyFont="1" applyFill="1" applyBorder="1" applyAlignment="1" applyProtection="1">
      <alignment wrapText="1"/>
      <protection locked="0"/>
    </xf>
    <xf numFmtId="1" fontId="3" fillId="3" borderId="23" xfId="0" applyNumberFormat="1" applyFont="1" applyFill="1" applyBorder="1" applyAlignment="1" applyProtection="1">
      <alignment vertical="center"/>
    </xf>
    <xf numFmtId="1" fontId="3" fillId="3" borderId="23" xfId="0" applyNumberFormat="1" applyFont="1" applyFill="1" applyBorder="1" applyAlignment="1" applyProtection="1">
      <alignment horizontal="center" vertical="center"/>
    </xf>
    <xf numFmtId="0" fontId="2" fillId="4" borderId="0" xfId="0" applyFont="1" applyFill="1" applyBorder="1" applyProtection="1"/>
    <xf numFmtId="0" fontId="2" fillId="4" borderId="25" xfId="0" applyFont="1" applyFill="1" applyBorder="1" applyProtection="1"/>
    <xf numFmtId="0" fontId="2" fillId="4" borderId="0" xfId="0" applyFont="1" applyFill="1" applyBorder="1" applyAlignment="1" applyProtection="1">
      <alignment horizontal="center" vertical="center"/>
    </xf>
    <xf numFmtId="1" fontId="3" fillId="4" borderId="27" xfId="0" applyNumberFormat="1" applyFont="1" applyFill="1" applyBorder="1" applyAlignment="1" applyProtection="1">
      <alignment horizontal="right" vertical="center"/>
    </xf>
    <xf numFmtId="0" fontId="3" fillId="4" borderId="27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left" vertical="center" wrapText="1"/>
    </xf>
    <xf numFmtId="1" fontId="3" fillId="4" borderId="0" xfId="0" applyNumberFormat="1" applyFont="1" applyFill="1" applyBorder="1" applyAlignment="1" applyProtection="1">
      <alignment horizontal="right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center" vertical="center"/>
    </xf>
    <xf numFmtId="1" fontId="3" fillId="4" borderId="26" xfId="0" applyNumberFormat="1" applyFont="1" applyFill="1" applyBorder="1" applyAlignment="1" applyProtection="1">
      <alignment horizontal="right" vertical="center"/>
    </xf>
    <xf numFmtId="0" fontId="3" fillId="4" borderId="26" xfId="0" applyFont="1" applyFill="1" applyBorder="1" applyAlignment="1" applyProtection="1">
      <alignment horizontal="center" vertical="center"/>
    </xf>
    <xf numFmtId="0" fontId="2" fillId="4" borderId="26" xfId="0" applyFont="1" applyFill="1" applyBorder="1" applyProtection="1"/>
    <xf numFmtId="0" fontId="2" fillId="4" borderId="38" xfId="0" applyFont="1" applyFill="1" applyBorder="1" applyProtection="1"/>
    <xf numFmtId="0" fontId="6" fillId="4" borderId="28" xfId="0" applyFont="1" applyFill="1" applyBorder="1" applyAlignment="1" applyProtection="1">
      <alignment vertical="center"/>
    </xf>
    <xf numFmtId="0" fontId="6" fillId="4" borderId="39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25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left" vertical="center" indent="2"/>
    </xf>
    <xf numFmtId="0" fontId="0" fillId="4" borderId="0" xfId="0" applyFill="1" applyBorder="1" applyAlignment="1" applyProtection="1">
      <alignment horizontal="center" vertical="center"/>
    </xf>
    <xf numFmtId="0" fontId="0" fillId="4" borderId="0" xfId="0" applyFont="1" applyFill="1" applyBorder="1" applyAlignment="1" applyProtection="1">
      <alignment horizontal="center" vertical="center"/>
    </xf>
    <xf numFmtId="0" fontId="0" fillId="4" borderId="0" xfId="0" applyFill="1" applyBorder="1" applyProtection="1"/>
    <xf numFmtId="0" fontId="0" fillId="4" borderId="25" xfId="0" applyFill="1" applyBorder="1" applyProtection="1"/>
    <xf numFmtId="0" fontId="3" fillId="4" borderId="0" xfId="0" applyFont="1" applyFill="1" applyBorder="1" applyAlignment="1" applyProtection="1">
      <alignment horizontal="left"/>
    </xf>
    <xf numFmtId="1" fontId="3" fillId="4" borderId="0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Border="1" applyProtection="1"/>
    <xf numFmtId="0" fontId="6" fillId="4" borderId="0" xfId="0" applyFont="1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/>
    <xf numFmtId="1" fontId="3" fillId="4" borderId="27" xfId="0" applyNumberFormat="1" applyFont="1" applyFill="1" applyBorder="1" applyAlignment="1" applyProtection="1">
      <alignment vertical="center"/>
    </xf>
    <xf numFmtId="1" fontId="3" fillId="4" borderId="0" xfId="0" applyNumberFormat="1" applyFont="1" applyFill="1" applyBorder="1" applyAlignment="1" applyProtection="1">
      <alignment vertical="center"/>
    </xf>
    <xf numFmtId="0" fontId="2" fillId="4" borderId="31" xfId="0" applyFont="1" applyFill="1" applyBorder="1" applyProtection="1"/>
    <xf numFmtId="1" fontId="2" fillId="4" borderId="31" xfId="0" applyNumberFormat="1" applyFont="1" applyFill="1" applyBorder="1" applyProtection="1"/>
    <xf numFmtId="0" fontId="2" fillId="4" borderId="33" xfId="0" applyFont="1" applyFill="1" applyBorder="1" applyProtection="1"/>
    <xf numFmtId="0" fontId="0" fillId="0" borderId="0" xfId="0" applyProtection="1"/>
    <xf numFmtId="0" fontId="0" fillId="0" borderId="0" xfId="0" applyBorder="1" applyProtection="1"/>
    <xf numFmtId="0" fontId="4" fillId="4" borderId="0" xfId="0" applyFont="1" applyFill="1" applyBorder="1" applyAlignment="1" applyProtection="1">
      <alignment horizontal="center" vertical="center"/>
    </xf>
    <xf numFmtId="0" fontId="4" fillId="4" borderId="25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left" vertical="center" indent="3"/>
    </xf>
    <xf numFmtId="0" fontId="2" fillId="4" borderId="0" xfId="0" applyFont="1" applyFill="1" applyBorder="1" applyAlignment="1" applyProtection="1">
      <alignment horizontal="left" vertical="center" indent="3"/>
    </xf>
    <xf numFmtId="0" fontId="6" fillId="4" borderId="0" xfId="0" applyFont="1" applyFill="1" applyBorder="1" applyProtection="1"/>
    <xf numFmtId="0" fontId="0" fillId="4" borderId="0" xfId="0" applyFill="1" applyProtection="1"/>
    <xf numFmtId="0" fontId="15" fillId="0" borderId="0" xfId="1" applyFill="1" applyBorder="1" applyProtection="1"/>
    <xf numFmtId="0" fontId="2" fillId="4" borderId="0" xfId="0" applyFont="1" applyFill="1" applyBorder="1" applyAlignment="1" applyProtection="1">
      <alignment horizontal="right"/>
    </xf>
    <xf numFmtId="0" fontId="3" fillId="4" borderId="46" xfId="0" applyFont="1" applyFill="1" applyBorder="1" applyAlignment="1" applyProtection="1">
      <alignment horizontal="left" vertical="center" indent="3"/>
    </xf>
    <xf numFmtId="0" fontId="5" fillId="4" borderId="23" xfId="0" applyFont="1" applyFill="1" applyBorder="1" applyAlignment="1" applyProtection="1">
      <alignment vertical="center" textRotation="90"/>
    </xf>
    <xf numFmtId="0" fontId="2" fillId="4" borderId="14" xfId="0" applyFont="1" applyFill="1" applyBorder="1" applyProtection="1"/>
    <xf numFmtId="0" fontId="2" fillId="4" borderId="24" xfId="0" applyFont="1" applyFill="1" applyBorder="1" applyProtection="1"/>
    <xf numFmtId="0" fontId="0" fillId="0" borderId="14" xfId="0" applyBorder="1" applyProtection="1"/>
    <xf numFmtId="0" fontId="6" fillId="0" borderId="0" xfId="0" applyFont="1" applyFill="1" applyBorder="1" applyAlignment="1" applyProtection="1">
      <alignment vertical="center"/>
    </xf>
    <xf numFmtId="1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2" fontId="0" fillId="7" borderId="0" xfId="0" applyNumberFormat="1" applyFill="1" applyAlignment="1">
      <alignment horizontal="center"/>
    </xf>
    <xf numFmtId="0" fontId="17" fillId="6" borderId="0" xfId="0" applyFont="1" applyFill="1"/>
    <xf numFmtId="0" fontId="18" fillId="6" borderId="0" xfId="0" applyFont="1" applyFill="1" applyAlignment="1">
      <alignment horizontal="left" vertical="center"/>
    </xf>
    <xf numFmtId="0" fontId="17" fillId="6" borderId="0" xfId="0" applyFont="1" applyFill="1" applyAlignment="1">
      <alignment horizontal="left" vertical="center" indent="1"/>
    </xf>
    <xf numFmtId="0" fontId="20" fillId="6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8" borderId="0" xfId="0" applyFill="1"/>
    <xf numFmtId="0" fontId="0" fillId="8" borderId="0" xfId="0" applyFill="1" applyBorder="1"/>
    <xf numFmtId="0" fontId="0" fillId="8" borderId="0" xfId="0" applyFill="1" applyBorder="1" applyAlignment="1">
      <alignment horizontal="center" vertical="center"/>
    </xf>
    <xf numFmtId="0" fontId="0" fillId="8" borderId="43" xfId="0" applyFill="1" applyBorder="1" applyAlignment="1">
      <alignment horizontal="center"/>
    </xf>
    <xf numFmtId="2" fontId="0" fillId="8" borderId="0" xfId="0" applyNumberFormat="1" applyFill="1" applyBorder="1"/>
    <xf numFmtId="0" fontId="0" fillId="8" borderId="44" xfId="0" applyFill="1" applyBorder="1" applyAlignment="1">
      <alignment horizontal="center"/>
    </xf>
    <xf numFmtId="0" fontId="0" fillId="8" borderId="55" xfId="0" applyFill="1" applyBorder="1" applyAlignment="1">
      <alignment horizontal="center" vertical="center"/>
    </xf>
    <xf numFmtId="0" fontId="0" fillId="8" borderId="56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2" fontId="0" fillId="8" borderId="11" xfId="0" applyNumberForma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2" fontId="0" fillId="8" borderId="13" xfId="0" applyNumberFormat="1" applyFill="1" applyBorder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0" fillId="8" borderId="43" xfId="0" applyFill="1" applyBorder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0" fontId="0" fillId="0" borderId="0" xfId="0" applyFill="1"/>
    <xf numFmtId="0" fontId="0" fillId="8" borderId="0" xfId="0" applyFill="1" applyBorder="1" applyAlignment="1"/>
    <xf numFmtId="0" fontId="0" fillId="8" borderId="57" xfId="0" applyFill="1" applyBorder="1" applyAlignment="1">
      <alignment horizontal="center"/>
    </xf>
    <xf numFmtId="0" fontId="0" fillId="8" borderId="7" xfId="0" applyFill="1" applyBorder="1" applyAlignment="1"/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Border="1" applyAlignment="1" applyProtection="1">
      <alignment horizontal="right"/>
    </xf>
    <xf numFmtId="0" fontId="4" fillId="4" borderId="32" xfId="0" applyFont="1" applyFill="1" applyBorder="1" applyAlignment="1" applyProtection="1">
      <alignment horizontal="center" vertical="center"/>
    </xf>
    <xf numFmtId="0" fontId="4" fillId="4" borderId="27" xfId="0" applyFont="1" applyFill="1" applyBorder="1" applyAlignment="1" applyProtection="1">
      <alignment horizontal="center" vertical="center"/>
    </xf>
    <xf numFmtId="0" fontId="4" fillId="4" borderId="34" xfId="0" applyFont="1" applyFill="1" applyBorder="1" applyAlignment="1" applyProtection="1">
      <alignment horizontal="center" vertical="center"/>
    </xf>
    <xf numFmtId="0" fontId="4" fillId="4" borderId="30" xfId="0" applyFont="1" applyFill="1" applyBorder="1" applyAlignment="1" applyProtection="1">
      <alignment horizontal="center" vertical="center"/>
    </xf>
    <xf numFmtId="0" fontId="4" fillId="4" borderId="31" xfId="0" applyFont="1" applyFill="1" applyBorder="1" applyAlignment="1" applyProtection="1">
      <alignment horizontal="center" vertical="center"/>
    </xf>
    <xf numFmtId="0" fontId="4" fillId="4" borderId="33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/>
    </xf>
    <xf numFmtId="0" fontId="3" fillId="3" borderId="24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left" vertical="center" indent="2"/>
    </xf>
    <xf numFmtId="2" fontId="3" fillId="3" borderId="23" xfId="0" applyNumberFormat="1" applyFont="1" applyFill="1" applyBorder="1" applyAlignment="1" applyProtection="1">
      <alignment horizontal="center" vertical="center"/>
    </xf>
    <xf numFmtId="2" fontId="3" fillId="3" borderId="14" xfId="0" applyNumberFormat="1" applyFont="1" applyFill="1" applyBorder="1" applyAlignment="1" applyProtection="1">
      <alignment horizontal="center" vertical="center"/>
    </xf>
    <xf numFmtId="2" fontId="3" fillId="3" borderId="24" xfId="0" applyNumberFormat="1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2" fillId="4" borderId="45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left" vertical="center" wrapText="1" indent="2"/>
    </xf>
    <xf numFmtId="0" fontId="16" fillId="8" borderId="46" xfId="0" applyFont="1" applyFill="1" applyBorder="1" applyAlignment="1" applyProtection="1">
      <alignment horizontal="center" vertical="center" wrapText="1"/>
      <protection locked="0"/>
    </xf>
    <xf numFmtId="0" fontId="16" fillId="8" borderId="0" xfId="0" applyFont="1" applyFill="1" applyBorder="1" applyAlignment="1" applyProtection="1">
      <alignment horizontal="center" vertical="center" wrapText="1"/>
      <protection locked="0"/>
    </xf>
    <xf numFmtId="0" fontId="16" fillId="8" borderId="40" xfId="0" applyFont="1" applyFill="1" applyBorder="1" applyAlignment="1" applyProtection="1">
      <alignment horizontal="center" vertical="center" wrapText="1"/>
      <protection locked="0"/>
    </xf>
    <xf numFmtId="0" fontId="16" fillId="8" borderId="49" xfId="0" applyFont="1" applyFill="1" applyBorder="1" applyAlignment="1" applyProtection="1">
      <alignment horizontal="center" vertical="center" wrapText="1"/>
      <protection locked="0"/>
    </xf>
    <xf numFmtId="0" fontId="16" fillId="8" borderId="45" xfId="0" applyFont="1" applyFill="1" applyBorder="1" applyAlignment="1" applyProtection="1">
      <alignment horizontal="center" vertical="center" wrapText="1"/>
      <protection locked="0"/>
    </xf>
    <xf numFmtId="0" fontId="16" fillId="8" borderId="50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center"/>
      <protection locked="0"/>
    </xf>
    <xf numFmtId="164" fontId="2" fillId="2" borderId="20" xfId="0" applyNumberFormat="1" applyFont="1" applyFill="1" applyBorder="1" applyAlignment="1" applyProtection="1">
      <alignment horizontal="center" vertical="center"/>
      <protection locked="0"/>
    </xf>
    <xf numFmtId="164" fontId="2" fillId="2" borderId="17" xfId="0" applyNumberFormat="1" applyFont="1" applyFill="1" applyBorder="1" applyAlignment="1" applyProtection="1">
      <alignment horizontal="center" vertical="center"/>
      <protection locked="0"/>
    </xf>
    <xf numFmtId="164" fontId="2" fillId="2" borderId="29" xfId="0" applyNumberFormat="1" applyFont="1" applyFill="1" applyBorder="1" applyAlignment="1" applyProtection="1">
      <alignment horizontal="center" vertical="center"/>
      <protection locked="0"/>
    </xf>
    <xf numFmtId="2" fontId="2" fillId="2" borderId="20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</xf>
    <xf numFmtId="0" fontId="5" fillId="4" borderId="36" xfId="0" applyFont="1" applyFill="1" applyBorder="1" applyAlignment="1" applyProtection="1">
      <alignment horizontal="center" vertical="center"/>
    </xf>
    <xf numFmtId="0" fontId="5" fillId="4" borderId="51" xfId="0" applyFont="1" applyFill="1" applyBorder="1" applyAlignment="1" applyProtection="1">
      <alignment horizontal="center" vertical="center"/>
    </xf>
    <xf numFmtId="0" fontId="5" fillId="4" borderId="52" xfId="0" applyFont="1" applyFill="1" applyBorder="1" applyAlignment="1" applyProtection="1">
      <alignment horizontal="center" vertical="center"/>
    </xf>
    <xf numFmtId="0" fontId="5" fillId="4" borderId="40" xfId="0" applyFont="1" applyFill="1" applyBorder="1" applyAlignment="1" applyProtection="1">
      <alignment horizontal="center" vertical="center"/>
    </xf>
    <xf numFmtId="0" fontId="5" fillId="4" borderId="53" xfId="0" applyFont="1" applyFill="1" applyBorder="1" applyAlignment="1" applyProtection="1">
      <alignment horizontal="center" vertical="center"/>
    </xf>
    <xf numFmtId="0" fontId="5" fillId="4" borderId="54" xfId="0" applyFont="1" applyFill="1" applyBorder="1" applyAlignment="1" applyProtection="1">
      <alignment horizontal="center" vertical="center"/>
    </xf>
    <xf numFmtId="0" fontId="5" fillId="4" borderId="35" xfId="0" applyFont="1" applyFill="1" applyBorder="1" applyAlignment="1" applyProtection="1">
      <alignment horizontal="center" vertical="center" textRotation="90"/>
    </xf>
    <xf numFmtId="0" fontId="5" fillId="4" borderId="36" xfId="0" applyFont="1" applyFill="1" applyBorder="1" applyAlignment="1" applyProtection="1">
      <alignment horizontal="center" vertical="center" textRotation="90"/>
    </xf>
    <xf numFmtId="0" fontId="5" fillId="4" borderId="37" xfId="0" applyFont="1" applyFill="1" applyBorder="1" applyAlignment="1" applyProtection="1">
      <alignment horizontal="center" vertical="center" textRotation="90"/>
    </xf>
    <xf numFmtId="0" fontId="2" fillId="4" borderId="0" xfId="0" applyFont="1" applyFill="1" applyBorder="1" applyAlignment="1" applyProtection="1">
      <alignment horizontal="right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right" vertical="center"/>
    </xf>
    <xf numFmtId="0" fontId="0" fillId="5" borderId="2" xfId="0" applyFill="1" applyBorder="1" applyAlignment="1">
      <alignment horizontal="right" vertical="center"/>
    </xf>
    <xf numFmtId="0" fontId="0" fillId="5" borderId="15" xfId="0" applyFill="1" applyBorder="1" applyAlignment="1">
      <alignment horizontal="right" vertical="center"/>
    </xf>
    <xf numFmtId="0" fontId="0" fillId="5" borderId="7" xfId="0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8" fillId="6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climate.umn.edu/snow_fence/Components/Design/introduction.htm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53339</xdr:colOff>
      <xdr:row>15</xdr:row>
      <xdr:rowOff>55108</xdr:rowOff>
    </xdr:from>
    <xdr:to>
      <xdr:col>23</xdr:col>
      <xdr:colOff>276224</xdr:colOff>
      <xdr:row>17</xdr:row>
      <xdr:rowOff>161925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0989" y="1798183"/>
          <a:ext cx="851535" cy="5068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</xdr:row>
      <xdr:rowOff>133350</xdr:rowOff>
    </xdr:from>
    <xdr:to>
      <xdr:col>13</xdr:col>
      <xdr:colOff>323850</xdr:colOff>
      <xdr:row>20</xdr:row>
      <xdr:rowOff>138643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33350"/>
          <a:ext cx="6019800" cy="36438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5</xdr:row>
      <xdr:rowOff>9525</xdr:rowOff>
    </xdr:from>
    <xdr:to>
      <xdr:col>3</xdr:col>
      <xdr:colOff>542925</xdr:colOff>
      <xdr:row>10</xdr:row>
      <xdr:rowOff>161925</xdr:rowOff>
    </xdr:to>
    <xdr:sp macro="" textlink="">
      <xdr:nvSpPr>
        <xdr:cNvPr id="9" name="Flowchart: Magnetic Disk 8"/>
        <xdr:cNvSpPr/>
      </xdr:nvSpPr>
      <xdr:spPr>
        <a:xfrm>
          <a:off x="1457325" y="962025"/>
          <a:ext cx="914400" cy="1104900"/>
        </a:xfrm>
        <a:prstGeom prst="flowChartMagneticDisk">
          <a:avLst/>
        </a:prstGeom>
        <a:ln>
          <a:solidFill>
            <a:schemeClr val="tx1"/>
          </a:solidFill>
        </a:ln>
        <a:effectLst>
          <a:outerShdw blurRad="50800" dist="139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466726</xdr:colOff>
      <xdr:row>5</xdr:row>
      <xdr:rowOff>28575</xdr:rowOff>
    </xdr:from>
    <xdr:to>
      <xdr:col>7</xdr:col>
      <xdr:colOff>161926</xdr:colOff>
      <xdr:row>9</xdr:row>
      <xdr:rowOff>180975</xdr:rowOff>
    </xdr:to>
    <xdr:sp macro="" textlink="">
      <xdr:nvSpPr>
        <xdr:cNvPr id="10" name="Folded Corner 9"/>
        <xdr:cNvSpPr/>
      </xdr:nvSpPr>
      <xdr:spPr>
        <a:xfrm rot="10800000">
          <a:off x="3514726" y="981075"/>
          <a:ext cx="914400" cy="914400"/>
        </a:xfrm>
        <a:prstGeom prst="foldedCorner">
          <a:avLst>
            <a:gd name="adj" fmla="val 31250"/>
          </a:avLst>
        </a:prstGeom>
        <a:ln>
          <a:solidFill>
            <a:schemeClr val="tx1"/>
          </a:solidFill>
        </a:ln>
        <a:effectLst>
          <a:outerShdw blurRad="50800" dist="139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21716</xdr:colOff>
      <xdr:row>7</xdr:row>
      <xdr:rowOff>104774</xdr:rowOff>
    </xdr:from>
    <xdr:to>
      <xdr:col>5</xdr:col>
      <xdr:colOff>466725</xdr:colOff>
      <xdr:row>10</xdr:row>
      <xdr:rowOff>187070</xdr:rowOff>
    </xdr:to>
    <xdr:cxnSp macro="">
      <xdr:nvCxnSpPr>
        <xdr:cNvPr id="16" name="Elbow Connector 15"/>
        <xdr:cNvCxnSpPr>
          <a:cxnSpLocks noChangeAspect="1"/>
          <a:stCxn id="9" idx="3"/>
          <a:endCxn id="10" idx="3"/>
        </xdr:cNvCxnSpPr>
      </xdr:nvCxnSpPr>
      <xdr:spPr>
        <a:xfrm rot="5400000" flipH="1" flipV="1">
          <a:off x="2355723" y="933067"/>
          <a:ext cx="653796" cy="1664209"/>
        </a:xfrm>
        <a:prstGeom prst="bentConnector4">
          <a:avLst>
            <a:gd name="adj1" fmla="val -36364"/>
            <a:gd name="adj2" fmla="val 64286"/>
          </a:avLst>
        </a:prstGeom>
        <a:ln w="28575" cmpd="sng">
          <a:solidFill>
            <a:schemeClr val="tx1"/>
          </a:solidFill>
          <a:headEnd type="none" w="lg" len="lg"/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466727</xdr:colOff>
      <xdr:row>16</xdr:row>
      <xdr:rowOff>171450</xdr:rowOff>
    </xdr:from>
    <xdr:to>
      <xdr:col>7</xdr:col>
      <xdr:colOff>161927</xdr:colOff>
      <xdr:row>21</xdr:row>
      <xdr:rowOff>133350</xdr:rowOff>
    </xdr:to>
    <xdr:sp macro="" textlink="">
      <xdr:nvSpPr>
        <xdr:cNvPr id="19" name="Folded Corner 18"/>
        <xdr:cNvSpPr/>
      </xdr:nvSpPr>
      <xdr:spPr>
        <a:xfrm rot="10800000">
          <a:off x="3514727" y="3219450"/>
          <a:ext cx="914400" cy="914400"/>
        </a:xfrm>
        <a:prstGeom prst="foldedCorner">
          <a:avLst>
            <a:gd name="adj" fmla="val 31250"/>
          </a:avLst>
        </a:prstGeom>
        <a:solidFill>
          <a:schemeClr val="accent2"/>
        </a:solidFill>
        <a:ln>
          <a:solidFill>
            <a:schemeClr val="tx1"/>
          </a:solidFill>
        </a:ln>
        <a:effectLst>
          <a:outerShdw blurRad="50800" dist="1397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prstMaterial="matte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314325</xdr:colOff>
      <xdr:row>9</xdr:row>
      <xdr:rowOff>180975</xdr:rowOff>
    </xdr:from>
    <xdr:to>
      <xdr:col>6</xdr:col>
      <xdr:colOff>314326</xdr:colOff>
      <xdr:row>17</xdr:row>
      <xdr:rowOff>9525</xdr:rowOff>
    </xdr:to>
    <xdr:cxnSp macro="">
      <xdr:nvCxnSpPr>
        <xdr:cNvPr id="27" name="Straight Arrow Connector 26"/>
        <xdr:cNvCxnSpPr>
          <a:stCxn id="10" idx="0"/>
        </xdr:cNvCxnSpPr>
      </xdr:nvCxnSpPr>
      <xdr:spPr>
        <a:xfrm flipH="1">
          <a:off x="3971925" y="1895475"/>
          <a:ext cx="1" cy="1352550"/>
        </a:xfrm>
        <a:prstGeom prst="straightConnector1">
          <a:avLst/>
        </a:prstGeom>
        <a:ln w="25400">
          <a:solidFill>
            <a:schemeClr val="tx1"/>
          </a:solidFill>
          <a:headEnd w="lg" len="lg"/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16</xdr:row>
      <xdr:rowOff>171450</xdr:rowOff>
    </xdr:from>
    <xdr:to>
      <xdr:col>11</xdr:col>
      <xdr:colOff>85725</xdr:colOff>
      <xdr:row>21</xdr:row>
      <xdr:rowOff>133350</xdr:rowOff>
    </xdr:to>
    <xdr:sp macro="" textlink="">
      <xdr:nvSpPr>
        <xdr:cNvPr id="29" name="Folded Corner 28"/>
        <xdr:cNvSpPr/>
      </xdr:nvSpPr>
      <xdr:spPr>
        <a:xfrm rot="10800000">
          <a:off x="5876925" y="3219450"/>
          <a:ext cx="914400" cy="914400"/>
        </a:xfrm>
        <a:prstGeom prst="foldedCorner">
          <a:avLst>
            <a:gd name="adj" fmla="val 31250"/>
          </a:avLst>
        </a:prstGeom>
        <a:solidFill>
          <a:schemeClr val="accent3">
            <a:lumMod val="75000"/>
          </a:schemeClr>
        </a:solidFill>
        <a:ln>
          <a:solidFill>
            <a:schemeClr val="tx1"/>
          </a:solidFill>
        </a:ln>
        <a:effectLst>
          <a:outerShdw blurRad="50800" dist="1397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prstMaterial="matte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171450</xdr:colOff>
      <xdr:row>19</xdr:row>
      <xdr:rowOff>57150</xdr:rowOff>
    </xdr:from>
    <xdr:to>
      <xdr:col>9</xdr:col>
      <xdr:colOff>390525</xdr:colOff>
      <xdr:row>19</xdr:row>
      <xdr:rowOff>57150</xdr:rowOff>
    </xdr:to>
    <xdr:cxnSp macro="">
      <xdr:nvCxnSpPr>
        <xdr:cNvPr id="31" name="Straight Arrow Connector 30"/>
        <xdr:cNvCxnSpPr>
          <a:endCxn id="29" idx="3"/>
        </xdr:cNvCxnSpPr>
      </xdr:nvCxnSpPr>
      <xdr:spPr>
        <a:xfrm>
          <a:off x="4438650" y="3676650"/>
          <a:ext cx="1438275" cy="0"/>
        </a:xfrm>
        <a:prstGeom prst="straightConnector1">
          <a:avLst/>
        </a:prstGeom>
        <a:ln w="25400">
          <a:solidFill>
            <a:schemeClr val="tx1"/>
          </a:solidFill>
          <a:headEnd w="lg" len="lg"/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66675</xdr:colOff>
      <xdr:row>22</xdr:row>
      <xdr:rowOff>85725</xdr:rowOff>
    </xdr:from>
    <xdr:to>
      <xdr:col>14</xdr:col>
      <xdr:colOff>371475</xdr:colOff>
      <xdr:row>25</xdr:row>
      <xdr:rowOff>126873</xdr:rowOff>
    </xdr:to>
    <xdr:sp macro="" textlink="">
      <xdr:nvSpPr>
        <xdr:cNvPr id="33" name="Flowchart: Document 32"/>
        <xdr:cNvSpPr/>
      </xdr:nvSpPr>
      <xdr:spPr>
        <a:xfrm>
          <a:off x="7991475" y="4276725"/>
          <a:ext cx="914400" cy="612648"/>
        </a:xfrm>
        <a:prstGeom prst="flowChartDocument">
          <a:avLst/>
        </a:prstGeom>
        <a:solidFill>
          <a:schemeClr val="accent2"/>
        </a:solidFill>
        <a:ln>
          <a:solidFill>
            <a:schemeClr val="tx1"/>
          </a:solidFill>
        </a:ln>
        <a:effectLst>
          <a:outerShdw blurRad="50800" dist="1397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prstMaterial="matte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66675</xdr:colOff>
      <xdr:row>13</xdr:row>
      <xdr:rowOff>9525</xdr:rowOff>
    </xdr:from>
    <xdr:to>
      <xdr:col>14</xdr:col>
      <xdr:colOff>517779</xdr:colOff>
      <xdr:row>17</xdr:row>
      <xdr:rowOff>6477</xdr:rowOff>
    </xdr:to>
    <xdr:sp macro="" textlink="">
      <xdr:nvSpPr>
        <xdr:cNvPr id="34" name="Flowchart: Multidocument 33"/>
        <xdr:cNvSpPr/>
      </xdr:nvSpPr>
      <xdr:spPr>
        <a:xfrm>
          <a:off x="7991475" y="2486025"/>
          <a:ext cx="1060704" cy="758952"/>
        </a:xfrm>
        <a:prstGeom prst="flowChartMultidocument">
          <a:avLst/>
        </a:prstGeom>
        <a:solidFill>
          <a:schemeClr val="accent2"/>
        </a:solidFill>
        <a:ln>
          <a:solidFill>
            <a:schemeClr val="tx1"/>
          </a:solidFill>
        </a:ln>
        <a:effectLst>
          <a:outerShdw blurRad="50800" dist="1397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prstMaterial="matte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85725</xdr:colOff>
      <xdr:row>19</xdr:row>
      <xdr:rowOff>57150</xdr:rowOff>
    </xdr:from>
    <xdr:to>
      <xdr:col>13</xdr:col>
      <xdr:colOff>66675</xdr:colOff>
      <xdr:row>24</xdr:row>
      <xdr:rowOff>11049</xdr:rowOff>
    </xdr:to>
    <xdr:cxnSp macro="">
      <xdr:nvCxnSpPr>
        <xdr:cNvPr id="40" name="Elbow Connector 39"/>
        <xdr:cNvCxnSpPr>
          <a:stCxn id="29" idx="1"/>
          <a:endCxn id="33" idx="1"/>
        </xdr:cNvCxnSpPr>
      </xdr:nvCxnSpPr>
      <xdr:spPr>
        <a:xfrm>
          <a:off x="6791325" y="3676650"/>
          <a:ext cx="1200150" cy="906399"/>
        </a:xfrm>
        <a:prstGeom prst="bentConnector3">
          <a:avLst/>
        </a:prstGeom>
        <a:ln w="25400">
          <a:solidFill>
            <a:schemeClr val="tx1"/>
          </a:solidFill>
          <a:headEnd type="none" w="lg" len="lg"/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85725</xdr:colOff>
      <xdr:row>15</xdr:row>
      <xdr:rowOff>8001</xdr:rowOff>
    </xdr:from>
    <xdr:to>
      <xdr:col>13</xdr:col>
      <xdr:colOff>66675</xdr:colOff>
      <xdr:row>19</xdr:row>
      <xdr:rowOff>57150</xdr:rowOff>
    </xdr:to>
    <xdr:cxnSp macro="">
      <xdr:nvCxnSpPr>
        <xdr:cNvPr id="42" name="Elbow Connector 41"/>
        <xdr:cNvCxnSpPr>
          <a:stCxn id="29" idx="1"/>
          <a:endCxn id="34" idx="1"/>
        </xdr:cNvCxnSpPr>
      </xdr:nvCxnSpPr>
      <xdr:spPr>
        <a:xfrm flipV="1">
          <a:off x="6791325" y="2865501"/>
          <a:ext cx="1200150" cy="811149"/>
        </a:xfrm>
        <a:prstGeom prst="bentConnector3">
          <a:avLst/>
        </a:prstGeom>
        <a:ln w="25400">
          <a:solidFill>
            <a:schemeClr val="tx1"/>
          </a:solidFill>
          <a:headEnd type="none" w="lg" len="lg"/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228600</xdr:colOff>
      <xdr:row>36</xdr:row>
      <xdr:rowOff>34468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5715000" cy="6511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scene3d>
          <a:camera prst="orthographicFront"/>
          <a:lightRig rig="threePt" dir="t"/>
        </a:scene3d>
        <a:sp3d prstMaterial="matte"/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X60"/>
  <sheetViews>
    <sheetView showGridLines="0" tabSelected="1" workbookViewId="0">
      <pane ySplit="2" topLeftCell="A3" activePane="bottomLeft" state="frozen"/>
      <selection pane="bottomLeft" activeCell="V10" sqref="V10"/>
    </sheetView>
  </sheetViews>
  <sheetFormatPr defaultRowHeight="15" x14ac:dyDescent="0.25"/>
  <cols>
    <col min="1" max="1" width="10.85546875" style="97" customWidth="1"/>
    <col min="2" max="2" width="15.5703125" style="97" customWidth="1"/>
    <col min="3" max="8" width="4.7109375" style="97" customWidth="1"/>
    <col min="9" max="9" width="4" style="97" customWidth="1"/>
    <col min="10" max="15" width="4.7109375" style="97" customWidth="1"/>
    <col min="16" max="16" width="4.5703125" style="97" customWidth="1"/>
    <col min="17" max="17" width="6.7109375" style="97" customWidth="1"/>
    <col min="18" max="25" width="4.7109375" style="97" customWidth="1"/>
    <col min="26" max="16384" width="9.140625" style="97"/>
  </cols>
  <sheetData>
    <row r="1" spans="1:27" ht="20.100000000000001" customHeight="1" thickTop="1" x14ac:dyDescent="0.25">
      <c r="A1" s="142" t="str">
        <f>CONCATENATE("Finding Setbacks for Fences on Shallow Slopes for Project ",P7)</f>
        <v>Finding Setbacks for Fences on Shallow Slopes for Project ?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4"/>
    </row>
    <row r="2" spans="1:27" s="98" customFormat="1" ht="20.100000000000001" customHeight="1" thickBot="1" x14ac:dyDescent="0.3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7"/>
    </row>
    <row r="3" spans="1:27" s="98" customFormat="1" ht="20.100000000000001" customHeight="1" thickTop="1" x14ac:dyDescent="0.25">
      <c r="A3" s="192" t="s">
        <v>26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100"/>
    </row>
    <row r="4" spans="1:27" s="98" customFormat="1" ht="16.5" customHeight="1" x14ac:dyDescent="0.25">
      <c r="A4" s="193"/>
      <c r="B4" s="90" t="s">
        <v>104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100"/>
    </row>
    <row r="5" spans="1:27" s="98" customFormat="1" ht="16.5" customHeight="1" thickBot="1" x14ac:dyDescent="0.3">
      <c r="A5" s="193"/>
      <c r="B5" s="101" t="s">
        <v>26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100"/>
    </row>
    <row r="6" spans="1:27" ht="15" customHeight="1" thickBot="1" x14ac:dyDescent="0.3">
      <c r="A6" s="193"/>
      <c r="B6" s="102"/>
      <c r="C6" s="141" t="s">
        <v>105</v>
      </c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66" t="s">
        <v>59</v>
      </c>
      <c r="P6" s="173" t="s">
        <v>134</v>
      </c>
      <c r="Q6" s="174"/>
      <c r="R6" s="174"/>
      <c r="S6" s="174"/>
      <c r="T6" s="174"/>
      <c r="U6" s="174"/>
      <c r="V6" s="174"/>
      <c r="W6" s="174"/>
      <c r="X6" s="175"/>
      <c r="Y6" s="65"/>
    </row>
    <row r="7" spans="1:27" ht="15.75" thickBot="1" x14ac:dyDescent="0.3">
      <c r="A7" s="193"/>
      <c r="B7" s="64"/>
      <c r="C7" s="141" t="s">
        <v>27</v>
      </c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66" t="s">
        <v>59</v>
      </c>
      <c r="P7" s="159" t="s">
        <v>134</v>
      </c>
      <c r="Q7" s="160"/>
      <c r="R7" s="161"/>
      <c r="S7" s="51"/>
      <c r="T7" s="51"/>
      <c r="U7" s="51"/>
      <c r="V7" s="51"/>
      <c r="W7" s="51"/>
      <c r="X7" s="51"/>
      <c r="Y7" s="65"/>
    </row>
    <row r="8" spans="1:27" ht="15.75" thickBot="1" x14ac:dyDescent="0.3">
      <c r="A8" s="193"/>
      <c r="B8" s="64"/>
      <c r="C8" s="141" t="s">
        <v>106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66" t="s">
        <v>59</v>
      </c>
      <c r="P8" s="156">
        <v>12</v>
      </c>
      <c r="Q8" s="157"/>
      <c r="R8" s="158"/>
      <c r="S8" s="51" t="s">
        <v>21</v>
      </c>
      <c r="T8" s="51"/>
      <c r="U8" s="51"/>
      <c r="V8" s="51"/>
      <c r="W8" s="51"/>
      <c r="X8" s="51"/>
      <c r="Y8" s="65"/>
    </row>
    <row r="9" spans="1:27" ht="15.75" thickBot="1" x14ac:dyDescent="0.3">
      <c r="A9" s="193"/>
      <c r="B9" s="64"/>
      <c r="C9" s="141" t="s">
        <v>107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66" t="s">
        <v>59</v>
      </c>
      <c r="P9" s="156">
        <v>10</v>
      </c>
      <c r="Q9" s="157"/>
      <c r="R9" s="158"/>
      <c r="S9" s="51" t="s">
        <v>21</v>
      </c>
      <c r="T9" s="51"/>
      <c r="U9" s="51"/>
      <c r="V9" s="51"/>
      <c r="W9" s="51"/>
      <c r="X9" s="51"/>
      <c r="Y9" s="65"/>
    </row>
    <row r="10" spans="1:27" ht="15.75" thickBot="1" x14ac:dyDescent="0.3">
      <c r="A10" s="193"/>
      <c r="B10" s="64"/>
      <c r="C10" s="141" t="s">
        <v>108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66" t="s">
        <v>59</v>
      </c>
      <c r="P10" s="156">
        <v>1.5</v>
      </c>
      <c r="Q10" s="157"/>
      <c r="R10" s="158"/>
      <c r="S10" s="51" t="s">
        <v>21</v>
      </c>
      <c r="T10" s="51"/>
      <c r="U10" s="51"/>
      <c r="V10" s="51"/>
      <c r="W10" s="51"/>
      <c r="X10" s="51"/>
      <c r="Y10" s="65"/>
    </row>
    <row r="11" spans="1:27" x14ac:dyDescent="0.25">
      <c r="A11" s="193"/>
      <c r="B11" s="64"/>
      <c r="C11" s="85"/>
      <c r="D11" s="85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6"/>
      <c r="P11" s="50"/>
      <c r="Q11" s="50"/>
      <c r="R11" s="50"/>
      <c r="S11" s="51"/>
      <c r="T11" s="51"/>
      <c r="U11" s="51"/>
      <c r="V11" s="51"/>
      <c r="W11" s="51"/>
      <c r="X11" s="51"/>
      <c r="Y11" s="65"/>
    </row>
    <row r="12" spans="1:27" ht="15.75" x14ac:dyDescent="0.25">
      <c r="A12" s="193"/>
      <c r="B12" s="103" t="s">
        <v>103</v>
      </c>
      <c r="C12" s="85"/>
      <c r="D12" s="85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6"/>
      <c r="P12" s="50"/>
      <c r="Q12" s="50"/>
      <c r="R12" s="50"/>
      <c r="S12" s="51"/>
      <c r="T12" s="51"/>
      <c r="U12" s="51"/>
      <c r="V12" s="51"/>
      <c r="W12" s="51"/>
      <c r="X12" s="51"/>
      <c r="Y12" s="65"/>
    </row>
    <row r="13" spans="1:27" ht="15.75" thickBot="1" x14ac:dyDescent="0.3">
      <c r="A13" s="193"/>
      <c r="B13" s="101" t="s">
        <v>96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104"/>
      <c r="O13" s="64"/>
      <c r="P13" s="51"/>
      <c r="Q13" s="51"/>
      <c r="R13" s="51"/>
      <c r="S13" s="51"/>
      <c r="T13" s="51"/>
      <c r="U13" s="51"/>
      <c r="V13" s="51"/>
      <c r="W13" s="51"/>
      <c r="X13" s="51"/>
      <c r="Y13" s="65"/>
    </row>
    <row r="14" spans="1:27" ht="15.75" thickBot="1" x14ac:dyDescent="0.3">
      <c r="A14" s="193"/>
      <c r="B14" s="64"/>
      <c r="C14" s="141" t="s">
        <v>58</v>
      </c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66" t="s">
        <v>59</v>
      </c>
      <c r="P14" s="156">
        <v>2.69</v>
      </c>
      <c r="Q14" s="157"/>
      <c r="R14" s="158"/>
      <c r="S14" s="51" t="s">
        <v>21</v>
      </c>
      <c r="T14" s="51"/>
      <c r="U14" s="51"/>
      <c r="V14" s="51"/>
      <c r="W14" s="51"/>
      <c r="X14" s="51"/>
      <c r="Y14" s="65"/>
      <c r="AA14" s="105"/>
    </row>
    <row r="15" spans="1:27" ht="15.75" thickBot="1" x14ac:dyDescent="0.3">
      <c r="A15" s="193"/>
      <c r="B15" s="141" t="s">
        <v>60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66" t="s">
        <v>59</v>
      </c>
      <c r="P15" s="176">
        <v>9.8000000000000004E-2</v>
      </c>
      <c r="Q15" s="177"/>
      <c r="R15" s="178"/>
      <c r="S15" s="51" t="s">
        <v>82</v>
      </c>
      <c r="T15" s="51"/>
      <c r="U15" s="51"/>
      <c r="V15" s="51"/>
      <c r="W15" s="51"/>
      <c r="X15" s="51"/>
      <c r="Y15" s="65"/>
    </row>
    <row r="16" spans="1:27" ht="15.75" thickBot="1" x14ac:dyDescent="0.3">
      <c r="A16" s="193"/>
      <c r="B16" s="195" t="s">
        <v>61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66" t="s">
        <v>59</v>
      </c>
      <c r="P16" s="179">
        <v>0.5</v>
      </c>
      <c r="Q16" s="180"/>
      <c r="R16" s="181"/>
      <c r="S16" s="51" t="s">
        <v>82</v>
      </c>
      <c r="T16" s="51"/>
      <c r="U16" s="51"/>
      <c r="V16" s="52"/>
      <c r="W16" s="53"/>
      <c r="X16" s="54"/>
      <c r="Y16" s="65"/>
    </row>
    <row r="17" spans="1:25" ht="15.75" thickBot="1" x14ac:dyDescent="0.3">
      <c r="A17" s="193"/>
      <c r="B17" s="195" t="s">
        <v>62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66" t="s">
        <v>59</v>
      </c>
      <c r="P17" s="182">
        <v>310</v>
      </c>
      <c r="Q17" s="183"/>
      <c r="R17" s="184"/>
      <c r="S17" s="51" t="s">
        <v>83</v>
      </c>
      <c r="T17" s="51"/>
      <c r="U17" s="51"/>
      <c r="V17" s="55"/>
      <c r="W17" s="56"/>
      <c r="X17" s="57"/>
      <c r="Y17" s="65"/>
    </row>
    <row r="18" spans="1:25" ht="15.75" thickBot="1" x14ac:dyDescent="0.3">
      <c r="A18" s="193"/>
      <c r="B18" s="195" t="s">
        <v>81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66" t="s">
        <v>59</v>
      </c>
      <c r="P18" s="182">
        <v>8500</v>
      </c>
      <c r="Q18" s="183"/>
      <c r="R18" s="184"/>
      <c r="S18" s="51" t="s">
        <v>21</v>
      </c>
      <c r="T18" s="51"/>
      <c r="U18" s="51"/>
      <c r="V18" s="58"/>
      <c r="W18" s="59"/>
      <c r="X18" s="60"/>
      <c r="Y18" s="65"/>
    </row>
    <row r="19" spans="1:25" ht="15.75" thickBot="1" x14ac:dyDescent="0.3">
      <c r="A19" s="193"/>
      <c r="B19" s="195" t="s">
        <v>65</v>
      </c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66" t="s">
        <v>59</v>
      </c>
      <c r="P19" s="179">
        <v>16.53</v>
      </c>
      <c r="Q19" s="180"/>
      <c r="R19" s="181"/>
      <c r="S19" s="51" t="s">
        <v>63</v>
      </c>
      <c r="T19" s="51"/>
      <c r="U19" s="51"/>
      <c r="V19" s="167" t="s">
        <v>95</v>
      </c>
      <c r="W19" s="168"/>
      <c r="X19" s="169"/>
      <c r="Y19" s="65"/>
    </row>
    <row r="20" spans="1:25" ht="15.75" thickBot="1" x14ac:dyDescent="0.3">
      <c r="A20" s="193"/>
      <c r="B20" s="64"/>
      <c r="C20" s="141" t="s">
        <v>64</v>
      </c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66" t="s">
        <v>59</v>
      </c>
      <c r="P20" s="156">
        <v>0.5</v>
      </c>
      <c r="Q20" s="157"/>
      <c r="R20" s="158"/>
      <c r="S20" s="51" t="s">
        <v>82</v>
      </c>
      <c r="T20" s="51"/>
      <c r="U20" s="51"/>
      <c r="V20" s="170"/>
      <c r="W20" s="171"/>
      <c r="X20" s="172"/>
      <c r="Y20" s="65"/>
    </row>
    <row r="21" spans="1:25" ht="15.75" thickBot="1" x14ac:dyDescent="0.3">
      <c r="A21" s="193"/>
      <c r="B21" s="64"/>
      <c r="C21" s="141" t="s">
        <v>66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66" t="s">
        <v>59</v>
      </c>
      <c r="P21" s="156">
        <v>8</v>
      </c>
      <c r="Q21" s="157"/>
      <c r="R21" s="158"/>
      <c r="S21" s="51" t="s">
        <v>21</v>
      </c>
      <c r="T21" s="51"/>
      <c r="U21" s="51"/>
      <c r="V21" s="51"/>
      <c r="W21" s="51"/>
      <c r="X21" s="51"/>
      <c r="Y21" s="65"/>
    </row>
    <row r="22" spans="1:25" ht="15.75" thickBot="1" x14ac:dyDescent="0.3">
      <c r="A22" s="193"/>
      <c r="B22" s="64"/>
      <c r="C22" s="141" t="s">
        <v>8</v>
      </c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66" t="s">
        <v>59</v>
      </c>
      <c r="P22" s="156">
        <v>40</v>
      </c>
      <c r="Q22" s="157"/>
      <c r="R22" s="158"/>
      <c r="S22" s="51" t="s">
        <v>83</v>
      </c>
      <c r="T22" s="51"/>
      <c r="U22" s="51"/>
      <c r="V22" s="61"/>
      <c r="W22" s="51"/>
      <c r="X22" s="51"/>
      <c r="Y22" s="65"/>
    </row>
    <row r="23" spans="1:25" x14ac:dyDescent="0.25">
      <c r="A23" s="193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64"/>
      <c r="P23" s="50"/>
      <c r="Q23" s="50"/>
      <c r="R23" s="50"/>
      <c r="S23" s="51"/>
      <c r="T23" s="51"/>
      <c r="U23" s="51"/>
      <c r="V23" s="51"/>
      <c r="W23" s="51"/>
      <c r="X23" s="51"/>
      <c r="Y23" s="65"/>
    </row>
    <row r="24" spans="1:25" ht="15.75" x14ac:dyDescent="0.25">
      <c r="A24" s="193"/>
      <c r="B24" s="103" t="s">
        <v>94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51"/>
      <c r="Q24" s="51"/>
      <c r="R24" s="51"/>
      <c r="S24" s="51"/>
      <c r="T24" s="51"/>
      <c r="U24" s="51"/>
      <c r="V24" s="51"/>
      <c r="W24" s="51"/>
      <c r="X24" s="51"/>
      <c r="Y24" s="65"/>
    </row>
    <row r="25" spans="1:25" ht="15.75" thickBot="1" x14ac:dyDescent="0.3">
      <c r="A25" s="193"/>
      <c r="B25" s="101" t="s">
        <v>101</v>
      </c>
      <c r="C25" s="89"/>
      <c r="D25" s="89"/>
      <c r="E25" s="89"/>
      <c r="F25" s="89"/>
      <c r="G25" s="89"/>
      <c r="H25" s="89"/>
      <c r="I25" s="89"/>
      <c r="J25" s="89"/>
      <c r="K25" s="89"/>
      <c r="L25" s="64"/>
      <c r="M25" s="64"/>
      <c r="N25" s="64"/>
      <c r="O25" s="64"/>
      <c r="P25" s="51"/>
      <c r="Q25" s="51"/>
      <c r="R25" s="51"/>
      <c r="S25" s="51"/>
      <c r="T25" s="51"/>
      <c r="U25" s="51"/>
      <c r="V25" s="51"/>
      <c r="W25" s="51"/>
      <c r="X25" s="51"/>
      <c r="Y25" s="65"/>
    </row>
    <row r="26" spans="1:25" ht="15.75" thickBot="1" x14ac:dyDescent="0.3">
      <c r="A26" s="193"/>
      <c r="B26" s="64"/>
      <c r="C26" s="141" t="s">
        <v>33</v>
      </c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64"/>
      <c r="P26" s="156">
        <v>4</v>
      </c>
      <c r="Q26" s="157"/>
      <c r="R26" s="158"/>
      <c r="S26" s="51" t="s">
        <v>28</v>
      </c>
      <c r="T26" s="51"/>
      <c r="U26" s="51"/>
      <c r="V26" s="51"/>
      <c r="W26" s="51"/>
      <c r="X26" s="51"/>
      <c r="Y26" s="65"/>
    </row>
    <row r="27" spans="1:25" ht="15.75" thickBot="1" x14ac:dyDescent="0.3">
      <c r="A27" s="193"/>
      <c r="B27" s="64"/>
      <c r="C27" s="141" t="s">
        <v>36</v>
      </c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64"/>
      <c r="P27" s="156">
        <v>4</v>
      </c>
      <c r="Q27" s="157"/>
      <c r="R27" s="158"/>
      <c r="S27" s="51" t="s">
        <v>35</v>
      </c>
      <c r="T27" s="156">
        <v>1</v>
      </c>
      <c r="U27" s="157"/>
      <c r="V27" s="158"/>
      <c r="W27" s="51" t="s">
        <v>34</v>
      </c>
      <c r="X27" s="51"/>
      <c r="Y27" s="65"/>
    </row>
    <row r="28" spans="1:25" ht="15.75" thickBot="1" x14ac:dyDescent="0.3">
      <c r="A28" s="193"/>
      <c r="B28" s="64"/>
      <c r="C28" s="141" t="s">
        <v>37</v>
      </c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64"/>
      <c r="P28" s="156">
        <v>3</v>
      </c>
      <c r="Q28" s="157"/>
      <c r="R28" s="158"/>
      <c r="S28" s="51" t="s">
        <v>35</v>
      </c>
      <c r="T28" s="156">
        <v>1</v>
      </c>
      <c r="U28" s="157"/>
      <c r="V28" s="158"/>
      <c r="W28" s="51" t="s">
        <v>34</v>
      </c>
      <c r="X28" s="51"/>
      <c r="Y28" s="65"/>
    </row>
    <row r="29" spans="1:25" ht="15.75" thickBot="1" x14ac:dyDescent="0.3">
      <c r="A29" s="193"/>
      <c r="B29" s="64"/>
      <c r="C29" s="141" t="s">
        <v>118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64"/>
      <c r="P29" s="156">
        <v>67</v>
      </c>
      <c r="Q29" s="157"/>
      <c r="R29" s="158"/>
      <c r="S29" s="51" t="s">
        <v>28</v>
      </c>
      <c r="T29" s="51"/>
      <c r="U29" s="51"/>
      <c r="V29" s="51"/>
      <c r="W29" s="51"/>
      <c r="X29" s="51"/>
      <c r="Y29" s="65"/>
    </row>
    <row r="30" spans="1:25" ht="15.75" x14ac:dyDescent="0.25">
      <c r="A30" s="193"/>
      <c r="B30" s="10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51"/>
      <c r="Q30" s="51"/>
      <c r="R30" s="51"/>
      <c r="S30" s="51"/>
      <c r="T30" s="51"/>
      <c r="U30" s="51"/>
      <c r="V30" s="51"/>
      <c r="W30" s="51"/>
      <c r="X30" s="51"/>
      <c r="Y30" s="65"/>
    </row>
    <row r="31" spans="1:25" ht="15.75" thickBot="1" x14ac:dyDescent="0.3">
      <c r="A31" s="193"/>
      <c r="B31" s="107" t="s">
        <v>100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64"/>
      <c r="P31" s="51"/>
      <c r="Q31" s="51"/>
      <c r="R31" s="51"/>
      <c r="S31" s="51"/>
      <c r="T31" s="51"/>
      <c r="U31" s="51"/>
      <c r="V31" s="51"/>
      <c r="W31" s="51"/>
      <c r="X31" s="51"/>
      <c r="Y31" s="65"/>
    </row>
    <row r="32" spans="1:25" ht="15.75" thickBot="1" x14ac:dyDescent="0.3">
      <c r="A32" s="193"/>
      <c r="B32" s="141" t="s">
        <v>67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66" t="s">
        <v>59</v>
      </c>
      <c r="P32" s="156">
        <v>9</v>
      </c>
      <c r="Q32" s="157"/>
      <c r="R32" s="158"/>
      <c r="S32" s="51" t="s">
        <v>21</v>
      </c>
      <c r="T32" s="51"/>
      <c r="U32" s="51"/>
      <c r="V32" s="51"/>
      <c r="W32" s="51"/>
      <c r="X32" s="51"/>
      <c r="Y32" s="65"/>
    </row>
    <row r="33" spans="1:180" ht="15.75" thickBot="1" x14ac:dyDescent="0.3">
      <c r="A33" s="19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5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</row>
    <row r="34" spans="1:180" s="111" customFormat="1" ht="5.0999999999999996" customHeight="1" thickTop="1" thickBot="1" x14ac:dyDescent="0.3">
      <c r="A34" s="108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10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</row>
    <row r="35" spans="1:180" ht="16.5" thickTop="1" thickBot="1" x14ac:dyDescent="0.3">
      <c r="A35" s="185" t="s">
        <v>97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5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</row>
    <row r="36" spans="1:180" ht="15" customHeight="1" thickTop="1" thickBot="1" x14ac:dyDescent="0.3">
      <c r="A36" s="186"/>
      <c r="B36" s="166" t="s">
        <v>109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66" t="s">
        <v>18</v>
      </c>
      <c r="P36" s="62">
        <f>Minimum_Parallel_Setbacks!$F$17</f>
        <v>172.90986700567905</v>
      </c>
      <c r="Q36" s="150" t="s">
        <v>28</v>
      </c>
      <c r="R36" s="151"/>
      <c r="S36" s="64"/>
      <c r="T36" s="165" t="s">
        <v>92</v>
      </c>
      <c r="U36" s="165"/>
      <c r="V36" s="165"/>
      <c r="W36" s="64"/>
      <c r="X36" s="64"/>
      <c r="Y36" s="65"/>
    </row>
    <row r="37" spans="1:180" s="98" customFormat="1" ht="15" customHeight="1" thickTop="1" thickBot="1" x14ac:dyDescent="0.3">
      <c r="A37" s="186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66"/>
      <c r="P37" s="67"/>
      <c r="Q37" s="68"/>
      <c r="R37" s="68"/>
      <c r="S37" s="64"/>
      <c r="T37" s="162">
        <f t="shared" ref="T37" si="0">$P$21</f>
        <v>8</v>
      </c>
      <c r="U37" s="163"/>
      <c r="V37" s="164"/>
      <c r="W37" s="64" t="s">
        <v>21</v>
      </c>
      <c r="X37" s="64"/>
      <c r="Y37" s="65"/>
    </row>
    <row r="38" spans="1:180" s="98" customFormat="1" ht="15" customHeight="1" thickTop="1" thickBot="1" x14ac:dyDescent="0.3">
      <c r="A38" s="186"/>
      <c r="B38" s="166" t="s">
        <v>112</v>
      </c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66" t="s">
        <v>18</v>
      </c>
      <c r="P38" s="62">
        <f>SUM((Minimum_Parallel_Setbacks!$F$17)+12)</f>
        <v>184.90986700567905</v>
      </c>
      <c r="Q38" s="150" t="s">
        <v>28</v>
      </c>
      <c r="R38" s="151"/>
      <c r="S38" s="64"/>
      <c r="T38" s="64"/>
      <c r="U38" s="64"/>
      <c r="V38" s="64"/>
      <c r="W38" s="64"/>
      <c r="X38" s="64"/>
      <c r="Y38" s="65"/>
    </row>
    <row r="39" spans="1:180" s="98" customFormat="1" ht="15" customHeight="1" thickTop="1" thickBot="1" x14ac:dyDescent="0.3">
      <c r="A39" s="186"/>
      <c r="B39" s="166" t="s">
        <v>113</v>
      </c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66" t="s">
        <v>18</v>
      </c>
      <c r="P39" s="62">
        <f>SUM((P38)+$P$8+$P$9+$P$10)</f>
        <v>208.40986700567905</v>
      </c>
      <c r="Q39" s="150" t="s">
        <v>28</v>
      </c>
      <c r="R39" s="151"/>
      <c r="S39" s="64"/>
      <c r="T39" s="64"/>
      <c r="U39" s="64"/>
      <c r="V39" s="64"/>
      <c r="W39" s="64"/>
      <c r="X39" s="64"/>
      <c r="Y39" s="65"/>
    </row>
    <row r="40" spans="1:180" s="98" customFormat="1" ht="15" customHeight="1" thickTop="1" x14ac:dyDescent="0.25">
      <c r="A40" s="186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6"/>
      <c r="P40" s="70"/>
      <c r="Q40" s="71"/>
      <c r="R40" s="71"/>
      <c r="S40" s="64"/>
      <c r="T40" s="64"/>
      <c r="U40" s="64"/>
      <c r="V40" s="64"/>
      <c r="W40" s="64"/>
      <c r="X40" s="64"/>
      <c r="Y40" s="65"/>
    </row>
    <row r="41" spans="1:180" s="98" customFormat="1" ht="15" customHeight="1" x14ac:dyDescent="0.25">
      <c r="A41" s="187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74"/>
      <c r="Q41" s="75"/>
      <c r="R41" s="75"/>
      <c r="S41" s="76"/>
      <c r="T41" s="76"/>
      <c r="U41" s="76"/>
      <c r="V41" s="76"/>
      <c r="W41" s="76"/>
      <c r="X41" s="76"/>
      <c r="Y41" s="77"/>
    </row>
    <row r="42" spans="1:180" ht="16.5" customHeight="1" x14ac:dyDescent="0.25">
      <c r="A42" s="188" t="s">
        <v>98</v>
      </c>
      <c r="B42" s="78" t="s">
        <v>102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9"/>
    </row>
    <row r="43" spans="1:180" ht="16.5" customHeight="1" thickBot="1" x14ac:dyDescent="0.3">
      <c r="A43" s="189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1"/>
    </row>
    <row r="44" spans="1:180" ht="15" customHeight="1" thickTop="1" thickBot="1" x14ac:dyDescent="0.3">
      <c r="A44" s="189"/>
      <c r="B44" s="82" t="s">
        <v>110</v>
      </c>
      <c r="C44" s="82"/>
      <c r="D44" s="82"/>
      <c r="E44" s="82"/>
      <c r="F44" s="82"/>
      <c r="G44" s="82"/>
      <c r="H44" s="71"/>
      <c r="I44" s="83" t="s">
        <v>55</v>
      </c>
      <c r="J44" s="84">
        <f>Ditch_Area_Reducing!$E$11</f>
        <v>1741.5</v>
      </c>
      <c r="K44" s="84" t="s">
        <v>56</v>
      </c>
      <c r="L44" s="84">
        <f>Ditch_Area_Reducing!$E$15</f>
        <v>318</v>
      </c>
      <c r="M44" s="66" t="s">
        <v>54</v>
      </c>
      <c r="N44" s="66">
        <f>Ditch_Area_Reducing!$E$11</f>
        <v>1741.5</v>
      </c>
      <c r="O44" s="66" t="s">
        <v>57</v>
      </c>
      <c r="P44" s="153">
        <f>SUM(Ditch_Area_Reducing!$H$19/Ditch_Area_Reducing!$H$23)</f>
        <v>0.84559359067734885</v>
      </c>
      <c r="Q44" s="154"/>
      <c r="R44" s="155"/>
      <c r="S44" s="85"/>
      <c r="T44" s="165" t="s">
        <v>92</v>
      </c>
      <c r="U44" s="165"/>
      <c r="V44" s="165"/>
      <c r="W44" s="64"/>
      <c r="X44" s="64"/>
      <c r="Y44" s="65"/>
    </row>
    <row r="45" spans="1:180" ht="15" customHeight="1" thickTop="1" thickBot="1" x14ac:dyDescent="0.3">
      <c r="A45" s="189"/>
      <c r="B45" s="152" t="s">
        <v>115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66" t="s">
        <v>18</v>
      </c>
      <c r="P45" s="63">
        <f>SUM(P36*P44)</f>
        <v>146.21147530487499</v>
      </c>
      <c r="Q45" s="150" t="s">
        <v>21</v>
      </c>
      <c r="R45" s="151"/>
      <c r="S45" s="85"/>
      <c r="T45" s="162">
        <f t="shared" ref="T45" si="1">$P$21</f>
        <v>8</v>
      </c>
      <c r="U45" s="163"/>
      <c r="V45" s="164"/>
      <c r="W45" s="64" t="s">
        <v>21</v>
      </c>
      <c r="X45" s="85"/>
      <c r="Y45" s="86"/>
    </row>
    <row r="46" spans="1:180" ht="15" customHeight="1" thickTop="1" thickBot="1" x14ac:dyDescent="0.3">
      <c r="A46" s="189"/>
      <c r="B46" s="82" t="s">
        <v>111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66" t="s">
        <v>18</v>
      </c>
      <c r="P46" s="63">
        <f>ROUNDUP(SUM(P45+12),0)</f>
        <v>159</v>
      </c>
      <c r="Q46" s="150" t="s">
        <v>21</v>
      </c>
      <c r="R46" s="151"/>
      <c r="S46" s="85"/>
      <c r="T46" s="66"/>
      <c r="U46" s="66"/>
      <c r="V46" s="66"/>
      <c r="W46" s="64"/>
      <c r="X46" s="85"/>
      <c r="Y46" s="86"/>
    </row>
    <row r="47" spans="1:180" s="98" customFormat="1" ht="15" customHeight="1" thickTop="1" thickBot="1" x14ac:dyDescent="0.3">
      <c r="A47" s="189"/>
      <c r="B47" s="166" t="s">
        <v>114</v>
      </c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66" t="s">
        <v>18</v>
      </c>
      <c r="P47" s="63">
        <f>SUM((P46)+$P$8+$P$9+$P$10)</f>
        <v>182.5</v>
      </c>
      <c r="Q47" s="150" t="s">
        <v>28</v>
      </c>
      <c r="R47" s="151"/>
      <c r="S47" s="64"/>
      <c r="T47" s="64"/>
      <c r="U47" s="64"/>
      <c r="V47" s="64"/>
      <c r="W47" s="64"/>
      <c r="X47" s="64"/>
      <c r="Y47" s="65"/>
    </row>
    <row r="48" spans="1:180" ht="15" customHeight="1" thickTop="1" x14ac:dyDescent="0.25">
      <c r="A48" s="190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66"/>
      <c r="P48" s="88"/>
      <c r="Q48" s="71"/>
      <c r="R48" s="71"/>
      <c r="S48" s="89"/>
      <c r="T48" s="89"/>
      <c r="U48" s="89"/>
      <c r="V48" s="64"/>
      <c r="W48" s="64"/>
      <c r="X48" s="64"/>
      <c r="Y48" s="65"/>
    </row>
    <row r="49" spans="1:26" ht="16.5" customHeight="1" x14ac:dyDescent="0.25">
      <c r="A49" s="188" t="s">
        <v>99</v>
      </c>
      <c r="B49" s="78" t="s">
        <v>117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9"/>
      <c r="Z49" s="112"/>
    </row>
    <row r="50" spans="1:26" ht="16.5" customHeight="1" thickBot="1" x14ac:dyDescent="0.3">
      <c r="A50" s="189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85"/>
      <c r="T50" s="165" t="s">
        <v>92</v>
      </c>
      <c r="U50" s="165"/>
      <c r="V50" s="165"/>
      <c r="W50" s="91"/>
      <c r="X50" s="64"/>
      <c r="Y50" s="65"/>
    </row>
    <row r="51" spans="1:26" ht="16.5" customHeight="1" thickTop="1" thickBot="1" x14ac:dyDescent="0.3">
      <c r="A51" s="189"/>
      <c r="B51" s="152" t="s">
        <v>116</v>
      </c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66" t="s">
        <v>18</v>
      </c>
      <c r="P51" s="63">
        <f>Reduced_Setback!$D$12</f>
        <v>126.25200000000001</v>
      </c>
      <c r="Q51" s="148" t="s">
        <v>21</v>
      </c>
      <c r="R51" s="149"/>
      <c r="S51" s="85"/>
      <c r="T51" s="162">
        <f>$P$32</f>
        <v>9</v>
      </c>
      <c r="U51" s="163"/>
      <c r="V51" s="164"/>
      <c r="W51" s="64" t="s">
        <v>21</v>
      </c>
      <c r="X51" s="85"/>
      <c r="Y51" s="86"/>
    </row>
    <row r="52" spans="1:26" ht="15" customHeight="1" thickTop="1" thickBot="1" x14ac:dyDescent="0.3">
      <c r="A52" s="189"/>
      <c r="B52" s="82" t="s">
        <v>112</v>
      </c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66" t="s">
        <v>18</v>
      </c>
      <c r="P52" s="63">
        <f>ROUNDUP(SUM(P51+12),0)</f>
        <v>139</v>
      </c>
      <c r="Q52" s="150" t="s">
        <v>21</v>
      </c>
      <c r="R52" s="151"/>
      <c r="S52" s="85"/>
      <c r="T52" s="66"/>
      <c r="U52" s="66"/>
      <c r="V52" s="66"/>
      <c r="W52" s="64"/>
      <c r="X52" s="85"/>
      <c r="Y52" s="86"/>
    </row>
    <row r="53" spans="1:26" s="98" customFormat="1" ht="15" customHeight="1" thickTop="1" thickBot="1" x14ac:dyDescent="0.3">
      <c r="A53" s="189"/>
      <c r="B53" s="166" t="s">
        <v>113</v>
      </c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66" t="s">
        <v>18</v>
      </c>
      <c r="P53" s="63">
        <f>SUM((P52)+$P$8+$P$9+$P$10)</f>
        <v>162.5</v>
      </c>
      <c r="Q53" s="150" t="s">
        <v>28</v>
      </c>
      <c r="R53" s="151"/>
      <c r="S53" s="64"/>
      <c r="T53" s="64"/>
      <c r="U53" s="64"/>
      <c r="V53" s="64"/>
      <c r="W53" s="64"/>
      <c r="X53" s="64"/>
      <c r="Y53" s="65"/>
    </row>
    <row r="54" spans="1:26" s="98" customFormat="1" ht="15" customHeight="1" thickTop="1" x14ac:dyDescent="0.25">
      <c r="A54" s="18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6"/>
      <c r="P54" s="92"/>
      <c r="Q54" s="68"/>
      <c r="R54" s="68"/>
      <c r="S54" s="64"/>
      <c r="T54" s="64"/>
      <c r="U54" s="64"/>
      <c r="V54" s="64"/>
      <c r="W54" s="64"/>
      <c r="X54" s="64"/>
      <c r="Y54" s="65"/>
    </row>
    <row r="55" spans="1:26" s="98" customFormat="1" ht="15" customHeight="1" x14ac:dyDescent="0.25">
      <c r="A55" s="18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6"/>
      <c r="P55" s="93"/>
      <c r="Q55" s="71"/>
      <c r="R55" s="71"/>
      <c r="S55" s="64"/>
      <c r="T55" s="64"/>
      <c r="U55" s="64"/>
      <c r="V55" s="64"/>
      <c r="W55" s="64"/>
      <c r="X55" s="64"/>
      <c r="Y55" s="65"/>
    </row>
    <row r="56" spans="1:26" ht="15.75" customHeight="1" thickBot="1" x14ac:dyDescent="0.3">
      <c r="A56" s="191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5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6"/>
    </row>
    <row r="57" spans="1:26" ht="15.75" thickTop="1" x14ac:dyDescent="0.25">
      <c r="P57" s="113"/>
    </row>
    <row r="58" spans="1:26" x14ac:dyDescent="0.25">
      <c r="P58" s="114"/>
    </row>
    <row r="59" spans="1:26" x14ac:dyDescent="0.25">
      <c r="P59" s="114"/>
    </row>
    <row r="60" spans="1:26" x14ac:dyDescent="0.25">
      <c r="N60" s="113"/>
      <c r="P60" s="113"/>
    </row>
  </sheetData>
  <sheetProtection sheet="1" objects="1" scenarios="1" selectLockedCells="1"/>
  <mergeCells count="69">
    <mergeCell ref="A3:A33"/>
    <mergeCell ref="P21:R21"/>
    <mergeCell ref="P22:R22"/>
    <mergeCell ref="P32:R32"/>
    <mergeCell ref="P27:R27"/>
    <mergeCell ref="B32:N32"/>
    <mergeCell ref="C26:N26"/>
    <mergeCell ref="C27:N27"/>
    <mergeCell ref="B16:N16"/>
    <mergeCell ref="B17:N17"/>
    <mergeCell ref="B18:N18"/>
    <mergeCell ref="B19:N19"/>
    <mergeCell ref="P28:R28"/>
    <mergeCell ref="P29:R29"/>
    <mergeCell ref="P19:R19"/>
    <mergeCell ref="P17:R17"/>
    <mergeCell ref="A35:A41"/>
    <mergeCell ref="A42:A48"/>
    <mergeCell ref="A49:A56"/>
    <mergeCell ref="B53:N53"/>
    <mergeCell ref="Q53:R53"/>
    <mergeCell ref="B39:N39"/>
    <mergeCell ref="Q39:R39"/>
    <mergeCell ref="P16:R16"/>
    <mergeCell ref="C14:N14"/>
    <mergeCell ref="C20:N20"/>
    <mergeCell ref="P18:R18"/>
    <mergeCell ref="B15:N15"/>
    <mergeCell ref="P8:R8"/>
    <mergeCell ref="P9:R9"/>
    <mergeCell ref="P10:R10"/>
    <mergeCell ref="P6:X6"/>
    <mergeCell ref="P15:R15"/>
    <mergeCell ref="C6:N6"/>
    <mergeCell ref="C7:N7"/>
    <mergeCell ref="C8:N8"/>
    <mergeCell ref="C9:N9"/>
    <mergeCell ref="C10:N10"/>
    <mergeCell ref="Q52:R52"/>
    <mergeCell ref="B38:N38"/>
    <mergeCell ref="Q38:R38"/>
    <mergeCell ref="B47:N47"/>
    <mergeCell ref="Q47:R47"/>
    <mergeCell ref="P20:R20"/>
    <mergeCell ref="T51:V51"/>
    <mergeCell ref="T50:V50"/>
    <mergeCell ref="Q46:R46"/>
    <mergeCell ref="B36:N37"/>
    <mergeCell ref="T45:V45"/>
    <mergeCell ref="T44:V44"/>
    <mergeCell ref="T36:V36"/>
    <mergeCell ref="T37:V37"/>
    <mergeCell ref="V19:X20"/>
    <mergeCell ref="C21:N21"/>
    <mergeCell ref="A1:Y2"/>
    <mergeCell ref="Q51:R51"/>
    <mergeCell ref="Q36:R36"/>
    <mergeCell ref="B51:N51"/>
    <mergeCell ref="P44:R44"/>
    <mergeCell ref="Q45:R45"/>
    <mergeCell ref="B45:N45"/>
    <mergeCell ref="T28:V28"/>
    <mergeCell ref="C28:N28"/>
    <mergeCell ref="C29:N29"/>
    <mergeCell ref="P26:R26"/>
    <mergeCell ref="C22:N22"/>
    <mergeCell ref="T27:V27"/>
    <mergeCell ref="P7:R7"/>
    <mergeCell ref="P14:R14"/>
  </mergeCells>
  <pageMargins left="0.7" right="0.7" top="0.75" bottom="0.75" header="0.3" footer="0.3"/>
  <pageSetup scale="6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topLeftCell="A4" workbookViewId="0">
      <selection activeCell="G29" sqref="G29"/>
    </sheetView>
  </sheetViews>
  <sheetFormatPr defaultRowHeight="15" x14ac:dyDescent="0.25"/>
  <cols>
    <col min="2" max="2" width="20" customWidth="1"/>
    <col min="3" max="3" width="11.28515625" customWidth="1"/>
    <col min="5" max="5" width="13.7109375" customWidth="1"/>
  </cols>
  <sheetData>
    <row r="1" spans="1:14" ht="41.25" customHeight="1" thickBot="1" x14ac:dyDescent="0.3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ht="15.75" thickBot="1" x14ac:dyDescent="0.3">
      <c r="A2" s="121"/>
      <c r="B2" s="139" t="s">
        <v>7</v>
      </c>
      <c r="C2" s="137"/>
      <c r="D2" s="122"/>
      <c r="E2" s="121"/>
      <c r="F2" s="121"/>
      <c r="G2" s="123"/>
      <c r="H2" s="123"/>
      <c r="I2" s="121"/>
      <c r="J2" s="121"/>
      <c r="K2" s="121"/>
      <c r="L2" s="121"/>
      <c r="M2" s="121"/>
      <c r="N2" s="121"/>
    </row>
    <row r="3" spans="1:14" x14ac:dyDescent="0.25">
      <c r="A3" s="121"/>
      <c r="B3" s="138">
        <v>4</v>
      </c>
      <c r="C3" s="122"/>
      <c r="D3" s="121"/>
      <c r="E3" s="121"/>
      <c r="F3" s="121"/>
      <c r="G3" s="125"/>
      <c r="H3" s="125"/>
      <c r="I3" s="121"/>
      <c r="J3" s="121"/>
      <c r="K3" s="121"/>
      <c r="L3" s="121"/>
      <c r="M3" s="121"/>
      <c r="N3" s="121"/>
    </row>
    <row r="4" spans="1:14" x14ac:dyDescent="0.25">
      <c r="A4" s="121"/>
      <c r="B4" s="124">
        <v>4.5</v>
      </c>
      <c r="C4" s="122"/>
      <c r="D4" s="121"/>
      <c r="E4" s="121"/>
      <c r="F4" s="121"/>
      <c r="G4" s="125"/>
      <c r="H4" s="125"/>
      <c r="I4" s="121"/>
      <c r="J4" s="121"/>
      <c r="K4" s="121"/>
      <c r="L4" s="121"/>
      <c r="M4" s="121"/>
      <c r="N4" s="121"/>
    </row>
    <row r="5" spans="1:14" x14ac:dyDescent="0.25">
      <c r="A5" s="121"/>
      <c r="B5" s="124">
        <v>5</v>
      </c>
      <c r="C5" s="122"/>
      <c r="D5" s="121"/>
      <c r="E5" s="121"/>
      <c r="F5" s="121"/>
      <c r="G5" s="125"/>
      <c r="H5" s="125"/>
      <c r="I5" s="121"/>
      <c r="J5" s="121"/>
      <c r="K5" s="121"/>
      <c r="L5" s="121"/>
      <c r="M5" s="121"/>
      <c r="N5" s="121"/>
    </row>
    <row r="6" spans="1:14" x14ac:dyDescent="0.25">
      <c r="A6" s="121"/>
      <c r="B6" s="124">
        <v>5.5</v>
      </c>
      <c r="C6" s="122"/>
      <c r="D6" s="121"/>
      <c r="E6" s="121"/>
      <c r="F6" s="121"/>
      <c r="G6" s="125"/>
      <c r="H6" s="125"/>
      <c r="I6" s="121"/>
      <c r="J6" s="121"/>
      <c r="K6" s="121"/>
      <c r="L6" s="121"/>
      <c r="M6" s="121"/>
      <c r="N6" s="121"/>
    </row>
    <row r="7" spans="1:14" x14ac:dyDescent="0.25">
      <c r="A7" s="121"/>
      <c r="B7" s="124">
        <v>6</v>
      </c>
      <c r="C7" s="122"/>
      <c r="D7" s="121"/>
      <c r="E7" s="121"/>
      <c r="F7" s="121"/>
      <c r="G7" s="125"/>
      <c r="H7" s="125"/>
      <c r="I7" s="121"/>
      <c r="J7" s="121"/>
      <c r="K7" s="121"/>
      <c r="L7" s="121"/>
      <c r="M7" s="121"/>
      <c r="N7" s="121"/>
    </row>
    <row r="8" spans="1:14" x14ac:dyDescent="0.25">
      <c r="A8" s="121"/>
      <c r="B8" s="124">
        <v>6.5</v>
      </c>
      <c r="C8" s="122"/>
      <c r="D8" s="121"/>
      <c r="E8" s="121"/>
      <c r="F8" s="121"/>
      <c r="G8" s="125"/>
      <c r="H8" s="125"/>
      <c r="I8" s="121"/>
      <c r="J8" s="121"/>
      <c r="K8" s="121"/>
      <c r="L8" s="121"/>
      <c r="M8" s="121"/>
      <c r="N8" s="121"/>
    </row>
    <row r="9" spans="1:14" x14ac:dyDescent="0.25">
      <c r="A9" s="121"/>
      <c r="B9" s="124">
        <v>7</v>
      </c>
      <c r="C9" s="122"/>
      <c r="D9" s="121"/>
      <c r="E9" s="121"/>
      <c r="F9" s="121"/>
      <c r="G9" s="125"/>
      <c r="H9" s="125"/>
      <c r="I9" s="121"/>
      <c r="J9" s="121"/>
      <c r="K9" s="121"/>
      <c r="L9" s="121"/>
      <c r="M9" s="121"/>
      <c r="N9" s="121"/>
    </row>
    <row r="10" spans="1:14" x14ac:dyDescent="0.25">
      <c r="A10" s="121"/>
      <c r="B10" s="124">
        <v>7.5</v>
      </c>
      <c r="C10" s="122"/>
      <c r="D10" s="121"/>
      <c r="E10" s="121"/>
      <c r="F10" s="121"/>
      <c r="G10" s="125"/>
      <c r="H10" s="125"/>
      <c r="I10" s="121"/>
      <c r="J10" s="121"/>
      <c r="K10" s="121"/>
      <c r="L10" s="121"/>
      <c r="M10" s="121"/>
      <c r="N10" s="121"/>
    </row>
    <row r="11" spans="1:14" x14ac:dyDescent="0.25">
      <c r="A11" s="121"/>
      <c r="B11" s="124">
        <v>8</v>
      </c>
      <c r="C11" s="122"/>
      <c r="D11" s="121"/>
      <c r="E11" s="121"/>
      <c r="F11" s="121"/>
      <c r="G11" s="125"/>
      <c r="H11" s="125"/>
      <c r="I11" s="121"/>
      <c r="J11" s="121"/>
      <c r="K11" s="121"/>
      <c r="L11" s="121"/>
      <c r="M11" s="121"/>
      <c r="N11" s="121"/>
    </row>
    <row r="12" spans="1:14" x14ac:dyDescent="0.25">
      <c r="A12" s="121"/>
      <c r="B12" s="124">
        <v>8.5</v>
      </c>
      <c r="C12" s="122"/>
      <c r="D12" s="121"/>
      <c r="E12" s="121"/>
      <c r="F12" s="121"/>
      <c r="G12" s="125"/>
      <c r="H12" s="125"/>
      <c r="I12" s="121"/>
      <c r="J12" s="121"/>
      <c r="K12" s="121"/>
      <c r="L12" s="121"/>
      <c r="M12" s="121"/>
      <c r="N12" s="121"/>
    </row>
    <row r="13" spans="1:14" x14ac:dyDescent="0.25">
      <c r="A13" s="121"/>
      <c r="B13" s="124">
        <v>9</v>
      </c>
      <c r="C13" s="122"/>
      <c r="D13" s="121"/>
      <c r="E13" s="121"/>
      <c r="F13" s="121"/>
      <c r="G13" s="125"/>
      <c r="H13" s="125"/>
      <c r="I13" s="121"/>
      <c r="J13" s="121"/>
      <c r="K13" s="121"/>
      <c r="L13" s="121"/>
      <c r="M13" s="121"/>
      <c r="N13" s="121"/>
    </row>
    <row r="14" spans="1:14" x14ac:dyDescent="0.25">
      <c r="A14" s="121"/>
      <c r="B14" s="124">
        <v>9.5</v>
      </c>
      <c r="C14" s="122"/>
      <c r="D14" s="121"/>
      <c r="E14" s="121"/>
      <c r="F14" s="121"/>
      <c r="G14" s="125"/>
      <c r="H14" s="125"/>
      <c r="I14" s="121"/>
      <c r="J14" s="121"/>
      <c r="K14" s="121"/>
      <c r="L14" s="121"/>
      <c r="M14" s="121"/>
      <c r="N14" s="121"/>
    </row>
    <row r="15" spans="1:14" x14ac:dyDescent="0.25">
      <c r="A15" s="121"/>
      <c r="B15" s="124">
        <v>10</v>
      </c>
      <c r="C15" s="122"/>
      <c r="D15" s="121"/>
      <c r="E15" s="121"/>
      <c r="F15" s="121"/>
      <c r="G15" s="125"/>
      <c r="H15" s="125"/>
      <c r="I15" s="121"/>
      <c r="J15" s="121"/>
      <c r="K15" s="121"/>
      <c r="L15" s="121"/>
      <c r="M15" s="121"/>
      <c r="N15" s="121"/>
    </row>
    <row r="16" spans="1:14" x14ac:dyDescent="0.25">
      <c r="A16" s="121"/>
      <c r="B16" s="124">
        <v>10.5</v>
      </c>
      <c r="C16" s="122"/>
      <c r="D16" s="121"/>
      <c r="E16" s="121"/>
      <c r="F16" s="121"/>
      <c r="G16" s="125"/>
      <c r="H16" s="125"/>
      <c r="I16" s="121"/>
      <c r="J16" s="121"/>
      <c r="K16" s="121"/>
      <c r="L16" s="121"/>
      <c r="M16" s="121"/>
      <c r="N16" s="121"/>
    </row>
    <row r="17" spans="1:14" x14ac:dyDescent="0.25">
      <c r="A17" s="121"/>
      <c r="B17" s="124">
        <v>11</v>
      </c>
      <c r="C17" s="122"/>
      <c r="D17" s="121"/>
      <c r="E17" s="121"/>
      <c r="F17" s="121"/>
      <c r="G17" s="125"/>
      <c r="H17" s="125"/>
      <c r="I17" s="121"/>
      <c r="J17" s="121"/>
      <c r="K17" s="121"/>
      <c r="L17" s="121"/>
      <c r="M17" s="121"/>
      <c r="N17" s="121"/>
    </row>
    <row r="18" spans="1:14" x14ac:dyDescent="0.25">
      <c r="A18" s="121"/>
      <c r="B18" s="124">
        <v>11.5</v>
      </c>
      <c r="C18" s="122"/>
      <c r="D18" s="121"/>
      <c r="E18" s="121"/>
      <c r="F18" s="121"/>
      <c r="G18" s="125"/>
      <c r="H18" s="125"/>
      <c r="I18" s="121"/>
      <c r="J18" s="121"/>
      <c r="K18" s="121"/>
      <c r="L18" s="121"/>
      <c r="M18" s="121"/>
      <c r="N18" s="121"/>
    </row>
    <row r="19" spans="1:14" x14ac:dyDescent="0.25">
      <c r="A19" s="121"/>
      <c r="B19" s="124">
        <v>12</v>
      </c>
      <c r="C19" s="122"/>
      <c r="D19" s="121"/>
      <c r="E19" s="121"/>
      <c r="F19" s="121"/>
      <c r="G19" s="125"/>
      <c r="H19" s="125"/>
      <c r="I19" s="121"/>
      <c r="J19" s="121"/>
      <c r="K19" s="121"/>
      <c r="L19" s="121"/>
      <c r="M19" s="121"/>
      <c r="N19" s="121"/>
    </row>
    <row r="20" spans="1:14" ht="15.75" thickBot="1" x14ac:dyDescent="0.3">
      <c r="A20" s="121"/>
      <c r="B20" s="126">
        <v>12.5</v>
      </c>
      <c r="C20" s="122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</row>
    <row r="21" spans="1:14" x14ac:dyDescent="0.2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</row>
    <row r="22" spans="1:14" ht="15.75" thickBot="1" x14ac:dyDescent="0.3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</row>
    <row r="23" spans="1:14" x14ac:dyDescent="0.25">
      <c r="A23" s="121"/>
      <c r="B23" s="196" t="s">
        <v>8</v>
      </c>
      <c r="C23" s="197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</row>
    <row r="24" spans="1:14" x14ac:dyDescent="0.25">
      <c r="A24" s="121"/>
      <c r="B24" s="127" t="s">
        <v>125</v>
      </c>
      <c r="C24" s="128" t="s">
        <v>126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</row>
    <row r="25" spans="1:14" x14ac:dyDescent="0.25">
      <c r="A25" s="121"/>
      <c r="B25" s="129">
        <v>10</v>
      </c>
      <c r="C25" s="130">
        <f t="shared" ref="C25:C41" si="0">SUM(SIN(RADIANS(B25)))</f>
        <v>0.17364817766693033</v>
      </c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</row>
    <row r="26" spans="1:14" x14ac:dyDescent="0.25">
      <c r="A26" s="121"/>
      <c r="B26" s="129">
        <v>15</v>
      </c>
      <c r="C26" s="130">
        <f t="shared" si="0"/>
        <v>0.25881904510252074</v>
      </c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</row>
    <row r="27" spans="1:14" x14ac:dyDescent="0.25">
      <c r="A27" s="121"/>
      <c r="B27" s="129">
        <v>20</v>
      </c>
      <c r="C27" s="130">
        <f t="shared" si="0"/>
        <v>0.34202014332566871</v>
      </c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</row>
    <row r="28" spans="1:14" x14ac:dyDescent="0.25">
      <c r="A28" s="121"/>
      <c r="B28" s="129">
        <v>25</v>
      </c>
      <c r="C28" s="130">
        <f t="shared" si="0"/>
        <v>0.42261826174069944</v>
      </c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</row>
    <row r="29" spans="1:14" x14ac:dyDescent="0.25">
      <c r="A29" s="121"/>
      <c r="B29" s="129">
        <v>30</v>
      </c>
      <c r="C29" s="130">
        <f t="shared" si="0"/>
        <v>0.49999999999999994</v>
      </c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</row>
    <row r="30" spans="1:14" x14ac:dyDescent="0.25">
      <c r="A30" s="121"/>
      <c r="B30" s="129">
        <v>35</v>
      </c>
      <c r="C30" s="130">
        <f t="shared" si="0"/>
        <v>0.57357643635104605</v>
      </c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</row>
    <row r="31" spans="1:14" x14ac:dyDescent="0.25">
      <c r="A31" s="121"/>
      <c r="B31" s="129">
        <v>40</v>
      </c>
      <c r="C31" s="130">
        <f t="shared" si="0"/>
        <v>0.64278760968653925</v>
      </c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</row>
    <row r="32" spans="1:14" x14ac:dyDescent="0.25">
      <c r="A32" s="121"/>
      <c r="B32" s="129">
        <v>45</v>
      </c>
      <c r="C32" s="130">
        <f t="shared" si="0"/>
        <v>0.70710678118654746</v>
      </c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</row>
    <row r="33" spans="1:14" x14ac:dyDescent="0.25">
      <c r="A33" s="121"/>
      <c r="B33" s="129">
        <v>50</v>
      </c>
      <c r="C33" s="130">
        <f t="shared" si="0"/>
        <v>0.76604444311897801</v>
      </c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</row>
    <row r="34" spans="1:14" x14ac:dyDescent="0.25">
      <c r="A34" s="121"/>
      <c r="B34" s="129">
        <v>55</v>
      </c>
      <c r="C34" s="130">
        <f t="shared" si="0"/>
        <v>0.8191520442889918</v>
      </c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</row>
    <row r="35" spans="1:14" x14ac:dyDescent="0.25">
      <c r="A35" s="121"/>
      <c r="B35" s="129">
        <v>60</v>
      </c>
      <c r="C35" s="130">
        <f t="shared" si="0"/>
        <v>0.8660254037844386</v>
      </c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</row>
    <row r="36" spans="1:14" x14ac:dyDescent="0.25">
      <c r="A36" s="121"/>
      <c r="B36" s="129">
        <v>65</v>
      </c>
      <c r="C36" s="130">
        <f t="shared" si="0"/>
        <v>0.90630778703664994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</row>
    <row r="37" spans="1:14" x14ac:dyDescent="0.25">
      <c r="A37" s="121"/>
      <c r="B37" s="129">
        <v>70</v>
      </c>
      <c r="C37" s="130">
        <f t="shared" si="0"/>
        <v>0.93969262078590832</v>
      </c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</row>
    <row r="38" spans="1:14" x14ac:dyDescent="0.25">
      <c r="A38" s="121"/>
      <c r="B38" s="129">
        <v>75</v>
      </c>
      <c r="C38" s="130">
        <f t="shared" si="0"/>
        <v>0.96592582628906831</v>
      </c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</row>
    <row r="39" spans="1:14" x14ac:dyDescent="0.25">
      <c r="A39" s="121"/>
      <c r="B39" s="129">
        <v>80</v>
      </c>
      <c r="C39" s="130">
        <f t="shared" si="0"/>
        <v>0.98480775301220802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</row>
    <row r="40" spans="1:14" x14ac:dyDescent="0.25">
      <c r="A40" s="121"/>
      <c r="B40" s="129">
        <v>85</v>
      </c>
      <c r="C40" s="130">
        <f t="shared" si="0"/>
        <v>0.99619469809174555</v>
      </c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</row>
    <row r="41" spans="1:14" ht="15.75" thickBot="1" x14ac:dyDescent="0.3">
      <c r="A41" s="121"/>
      <c r="B41" s="131">
        <v>90</v>
      </c>
      <c r="C41" s="132">
        <f t="shared" si="0"/>
        <v>1</v>
      </c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</row>
    <row r="42" spans="1:14" x14ac:dyDescent="0.25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</row>
    <row r="43" spans="1:14" ht="15.75" thickBot="1" x14ac:dyDescent="0.3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</row>
    <row r="44" spans="1:14" x14ac:dyDescent="0.25">
      <c r="A44" s="121"/>
      <c r="B44" s="133" t="s">
        <v>9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</row>
    <row r="45" spans="1:14" x14ac:dyDescent="0.25">
      <c r="A45" s="121"/>
      <c r="B45" s="134">
        <v>0.25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</row>
    <row r="46" spans="1:14" x14ac:dyDescent="0.25">
      <c r="A46" s="121"/>
      <c r="B46" s="134">
        <v>0.3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</row>
    <row r="47" spans="1:14" x14ac:dyDescent="0.25">
      <c r="A47" s="121"/>
      <c r="B47" s="134">
        <v>0.4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</row>
    <row r="48" spans="1:14" x14ac:dyDescent="0.25">
      <c r="A48" s="121"/>
      <c r="B48" s="134">
        <v>0.5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</row>
    <row r="49" spans="1:14" x14ac:dyDescent="0.25">
      <c r="A49" s="121"/>
      <c r="B49" s="134">
        <v>0.6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</row>
    <row r="50" spans="1:14" ht="15.75" thickBot="1" x14ac:dyDescent="0.3">
      <c r="A50" s="121"/>
      <c r="B50" s="135">
        <v>0.7</v>
      </c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</row>
    <row r="51" spans="1:14" x14ac:dyDescent="0.25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</row>
    <row r="52" spans="1:14" x14ac:dyDescent="0.25">
      <c r="B52" s="136"/>
      <c r="C52" s="136"/>
      <c r="D52" s="136"/>
    </row>
  </sheetData>
  <mergeCells count="1">
    <mergeCell ref="B23:C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workbookViewId="0">
      <selection activeCell="F17" sqref="F17"/>
    </sheetView>
  </sheetViews>
  <sheetFormatPr defaultRowHeight="15" x14ac:dyDescent="0.25"/>
  <cols>
    <col min="3" max="3" width="18.140625" customWidth="1"/>
    <col min="4" max="4" width="16.28515625" customWidth="1"/>
    <col min="5" max="5" width="17.28515625" customWidth="1"/>
    <col min="6" max="6" width="20" customWidth="1"/>
  </cols>
  <sheetData>
    <row r="1" spans="1:15" ht="18" x14ac:dyDescent="0.25">
      <c r="A1" s="198" t="s">
        <v>2</v>
      </c>
      <c r="B1" s="198"/>
      <c r="C1" s="198"/>
      <c r="D1" s="198"/>
      <c r="E1" s="198"/>
      <c r="F1" s="198"/>
      <c r="G1" s="198"/>
    </row>
    <row r="2" spans="1:15" x14ac:dyDescent="0.25">
      <c r="A2" s="18" t="s">
        <v>30</v>
      </c>
      <c r="B2" s="18"/>
      <c r="C2" s="18"/>
      <c r="D2" s="18"/>
      <c r="E2" s="18"/>
      <c r="F2" s="18"/>
      <c r="G2" s="18"/>
    </row>
    <row r="3" spans="1:15" x14ac:dyDescent="0.25">
      <c r="A3" s="18"/>
      <c r="B3" s="18"/>
      <c r="C3" s="18"/>
      <c r="D3" s="18"/>
      <c r="E3" s="18"/>
      <c r="F3" s="18"/>
      <c r="G3" s="18"/>
    </row>
    <row r="4" spans="1:15" x14ac:dyDescent="0.25">
      <c r="A4" s="18" t="s">
        <v>29</v>
      </c>
      <c r="B4" s="24"/>
      <c r="C4" s="18"/>
      <c r="D4" s="18"/>
      <c r="E4" s="18"/>
      <c r="F4" s="18"/>
      <c r="G4" s="18"/>
      <c r="O4" s="2"/>
    </row>
    <row r="5" spans="1:15" x14ac:dyDescent="0.25">
      <c r="A5" s="18"/>
      <c r="B5" s="18"/>
      <c r="C5" s="18"/>
      <c r="D5" s="18"/>
      <c r="E5" s="18"/>
      <c r="F5" s="18"/>
      <c r="G5" s="18"/>
      <c r="O5" s="2"/>
    </row>
    <row r="6" spans="1:15" x14ac:dyDescent="0.25">
      <c r="A6" s="18"/>
      <c r="B6" s="18" t="s">
        <v>0</v>
      </c>
      <c r="C6" s="18"/>
      <c r="D6" s="18"/>
      <c r="E6" s="18"/>
      <c r="F6" s="18"/>
      <c r="G6" s="18"/>
      <c r="O6" s="2"/>
    </row>
    <row r="7" spans="1:15" x14ac:dyDescent="0.25">
      <c r="A7" s="18"/>
      <c r="B7" s="18" t="s">
        <v>1</v>
      </c>
      <c r="C7" s="18"/>
      <c r="D7" s="18"/>
      <c r="E7" s="18"/>
      <c r="F7" s="18"/>
      <c r="G7" s="18"/>
      <c r="O7" s="2"/>
    </row>
    <row r="8" spans="1:15" x14ac:dyDescent="0.25">
      <c r="A8" s="18"/>
      <c r="B8" s="18"/>
      <c r="C8" s="18"/>
      <c r="D8" s="18"/>
      <c r="E8" s="18"/>
      <c r="F8" s="18"/>
      <c r="G8" s="18"/>
      <c r="O8" s="2"/>
    </row>
    <row r="9" spans="1:15" x14ac:dyDescent="0.25">
      <c r="A9" s="18"/>
      <c r="B9" s="18"/>
      <c r="C9" s="45" t="s">
        <v>93</v>
      </c>
      <c r="D9" s="45"/>
      <c r="E9" s="45"/>
      <c r="F9" s="18"/>
      <c r="G9" s="18"/>
      <c r="O9" s="2"/>
    </row>
    <row r="10" spans="1:15" x14ac:dyDescent="0.25">
      <c r="A10" s="18"/>
      <c r="B10" s="18"/>
      <c r="C10" s="45"/>
      <c r="D10" s="45"/>
      <c r="E10" s="45"/>
      <c r="F10" s="18"/>
      <c r="G10" s="18"/>
      <c r="O10" s="2"/>
    </row>
    <row r="11" spans="1:15" x14ac:dyDescent="0.25">
      <c r="A11" s="18"/>
      <c r="B11" s="18"/>
      <c r="C11" s="18" t="s">
        <v>6</v>
      </c>
      <c r="D11" s="18"/>
      <c r="E11" s="18"/>
      <c r="F11" s="18"/>
      <c r="G11" s="18"/>
      <c r="O11" s="2"/>
    </row>
    <row r="12" spans="1:15" x14ac:dyDescent="0.25">
      <c r="A12" s="18"/>
      <c r="B12" s="18"/>
      <c r="C12" s="18" t="s">
        <v>3</v>
      </c>
      <c r="D12" s="18"/>
      <c r="E12" s="18"/>
      <c r="F12" s="18"/>
      <c r="G12" s="18"/>
      <c r="O12" s="2"/>
    </row>
    <row r="13" spans="1:15" x14ac:dyDescent="0.25">
      <c r="A13" s="18"/>
      <c r="B13" s="18"/>
      <c r="C13" s="18" t="s">
        <v>4</v>
      </c>
      <c r="D13" s="18"/>
      <c r="E13" s="18"/>
      <c r="F13" s="18"/>
      <c r="G13" s="18"/>
      <c r="O13" s="2"/>
    </row>
    <row r="14" spans="1:15" x14ac:dyDescent="0.25">
      <c r="A14" s="18"/>
      <c r="B14" s="18"/>
      <c r="C14" s="18" t="s">
        <v>5</v>
      </c>
      <c r="D14" s="18"/>
      <c r="E14" s="18"/>
      <c r="F14" s="18"/>
      <c r="G14" s="18"/>
      <c r="O14" s="2"/>
    </row>
    <row r="15" spans="1:15" ht="15.75" thickBot="1" x14ac:dyDescent="0.3">
      <c r="A15" s="18"/>
      <c r="B15" s="18"/>
      <c r="C15" s="18"/>
      <c r="D15" s="18"/>
      <c r="E15" s="18"/>
      <c r="F15" s="18"/>
      <c r="G15" s="18"/>
      <c r="O15" s="2"/>
    </row>
    <row r="16" spans="1:15" ht="33.75" customHeight="1" thickTop="1" thickBot="1" x14ac:dyDescent="0.3">
      <c r="A16" s="18"/>
      <c r="B16" s="18"/>
      <c r="C16" s="7" t="s">
        <v>10</v>
      </c>
      <c r="D16" s="7" t="s">
        <v>11</v>
      </c>
      <c r="E16" s="9" t="s">
        <v>12</v>
      </c>
      <c r="F16" s="6" t="s">
        <v>13</v>
      </c>
      <c r="G16" s="18"/>
      <c r="O16" s="2"/>
    </row>
    <row r="17" spans="1:15" ht="15.75" thickBot="1" x14ac:dyDescent="0.3">
      <c r="A17" s="18"/>
      <c r="B17" s="18"/>
      <c r="C17" s="11">
        <f>Project_Data!$P$21</f>
        <v>8</v>
      </c>
      <c r="D17" s="11">
        <f>Project_Data!$P$22</f>
        <v>40</v>
      </c>
      <c r="E17" s="12">
        <f>SUM((Project_Data!$P$20))</f>
        <v>0.5</v>
      </c>
      <c r="F17" s="25">
        <f>SUM((C17)*(SIN(RADIANS(D17)))*((12)+(49*E17)+(7*(POWER(E17,2)))-(37*(POWER(E17,3)))))</f>
        <v>172.90986700567905</v>
      </c>
      <c r="G17" s="18"/>
      <c r="O17" s="2"/>
    </row>
    <row r="18" spans="1:15" ht="15.75" thickTop="1" x14ac:dyDescent="0.25">
      <c r="A18" s="18"/>
      <c r="B18" s="18"/>
      <c r="C18" s="18"/>
      <c r="D18" s="18"/>
      <c r="E18" s="18"/>
      <c r="F18" s="18"/>
      <c r="G18" s="18"/>
      <c r="O18" s="2"/>
    </row>
    <row r="19" spans="1:15" x14ac:dyDescent="0.25">
      <c r="A19" s="18"/>
      <c r="B19" s="18"/>
      <c r="C19" s="18"/>
      <c r="D19" s="18"/>
      <c r="E19" s="18"/>
      <c r="F19" s="18"/>
      <c r="G19" s="18"/>
    </row>
    <row r="22" spans="1:15" x14ac:dyDescent="0.25">
      <c r="C22" s="1"/>
      <c r="D22" s="1"/>
      <c r="E22" s="1"/>
      <c r="F22" s="1"/>
      <c r="G22" s="1"/>
      <c r="H22" s="1"/>
      <c r="M22" s="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workbookViewId="0">
      <selection activeCell="C10" sqref="C10"/>
    </sheetView>
  </sheetViews>
  <sheetFormatPr defaultRowHeight="15" x14ac:dyDescent="0.25"/>
  <cols>
    <col min="3" max="3" width="4.42578125" customWidth="1"/>
    <col min="6" max="6" width="17.140625" customWidth="1"/>
  </cols>
  <sheetData>
    <row r="1" spans="1:10" ht="18" x14ac:dyDescent="0.25">
      <c r="A1" s="198" t="s">
        <v>38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x14ac:dyDescent="0.25">
      <c r="A2" s="18" t="s">
        <v>84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8"/>
      <c r="B3" s="18" t="s">
        <v>39</v>
      </c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A5" s="18"/>
      <c r="B5" s="18" t="s">
        <v>40</v>
      </c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x14ac:dyDescent="0.25">
      <c r="A7" s="18"/>
      <c r="B7" s="19" t="s">
        <v>19</v>
      </c>
      <c r="C7" s="18" t="s">
        <v>42</v>
      </c>
      <c r="D7" s="18"/>
      <c r="E7" s="18"/>
      <c r="F7" s="18"/>
      <c r="G7" s="18"/>
      <c r="H7" s="18"/>
      <c r="I7" s="18"/>
      <c r="J7" s="18"/>
    </row>
    <row r="8" spans="1:10" x14ac:dyDescent="0.25">
      <c r="A8" s="18"/>
      <c r="B8" s="20" t="s">
        <v>43</v>
      </c>
      <c r="C8" s="18" t="s">
        <v>44</v>
      </c>
      <c r="D8" s="18"/>
      <c r="E8" s="18"/>
      <c r="F8" s="18"/>
      <c r="G8" s="18"/>
      <c r="H8" s="18"/>
      <c r="I8" s="18"/>
      <c r="J8" s="18"/>
    </row>
    <row r="9" spans="1:10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25">
      <c r="A10" s="18"/>
      <c r="B10" s="20" t="s">
        <v>45</v>
      </c>
      <c r="C10" s="18">
        <f>Project_Data!$P$32</f>
        <v>9</v>
      </c>
      <c r="D10" s="18" t="s">
        <v>46</v>
      </c>
      <c r="E10" s="18"/>
      <c r="F10" s="18"/>
      <c r="G10" s="18"/>
      <c r="H10" s="18"/>
      <c r="I10" s="18"/>
      <c r="J10" s="18"/>
    </row>
    <row r="11" spans="1:10" x14ac:dyDescent="0.25">
      <c r="A11" s="18"/>
      <c r="B11" s="20" t="s">
        <v>41</v>
      </c>
      <c r="C11" s="18"/>
      <c r="D11" s="18" t="s">
        <v>18</v>
      </c>
      <c r="E11" s="18">
        <f>H19</f>
        <v>1741.5</v>
      </c>
      <c r="F11" s="18" t="s">
        <v>48</v>
      </c>
      <c r="G11" s="18"/>
      <c r="H11" s="18"/>
      <c r="I11" s="18"/>
      <c r="J11" s="18"/>
    </row>
    <row r="12" spans="1:10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 x14ac:dyDescent="0.25">
      <c r="A13" s="18"/>
      <c r="B13" s="21" t="s">
        <v>49</v>
      </c>
      <c r="C13" s="18"/>
      <c r="D13" s="18"/>
      <c r="E13" s="18"/>
      <c r="F13" s="18"/>
      <c r="G13" s="18"/>
      <c r="H13" s="18"/>
      <c r="I13" s="18"/>
      <c r="J13" s="18"/>
    </row>
    <row r="14" spans="1:10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x14ac:dyDescent="0.25">
      <c r="A15" s="18"/>
      <c r="B15" s="18" t="s">
        <v>50</v>
      </c>
      <c r="C15" s="18"/>
      <c r="D15" s="22" t="s">
        <v>18</v>
      </c>
      <c r="E15" s="18">
        <f>SUM((((Project_Data!T27*Project_Data!P26)*(Project_Data!P27*Project_Data!P26))/2)+(Project_Data!P26*Project_Data!P29)+((Project_Data!T28*Project_Data!P28)*(Project_Data!P28*Project_Data!P26)/2))</f>
        <v>318</v>
      </c>
      <c r="F15" s="18" t="s">
        <v>48</v>
      </c>
      <c r="G15" s="18"/>
      <c r="H15" s="18"/>
      <c r="I15" s="18"/>
      <c r="J15" s="18"/>
    </row>
    <row r="16" spans="1:10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ht="15.75" thickBot="1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ht="16.5" thickTop="1" thickBot="1" x14ac:dyDescent="0.3">
      <c r="A19" s="18"/>
      <c r="B19" s="18"/>
      <c r="C19" s="18"/>
      <c r="D19" s="18"/>
      <c r="E19" s="18"/>
      <c r="F19" s="199" t="s">
        <v>51</v>
      </c>
      <c r="G19" s="200"/>
      <c r="H19" s="49">
        <f>SUM(21.5*(POWER(C10,2)))</f>
        <v>1741.5</v>
      </c>
      <c r="I19" s="13" t="s">
        <v>47</v>
      </c>
      <c r="J19" s="18"/>
    </row>
    <row r="20" spans="1:10" ht="15.75" thickBot="1" x14ac:dyDescent="0.3">
      <c r="A20" s="18"/>
      <c r="B20" s="18"/>
      <c r="C20" s="18"/>
      <c r="D20" s="18"/>
      <c r="E20" s="18"/>
      <c r="F20" s="205"/>
      <c r="G20" s="206"/>
      <c r="H20" s="206"/>
      <c r="I20" s="207"/>
      <c r="J20" s="18"/>
    </row>
    <row r="21" spans="1:10" ht="15.75" thickBot="1" x14ac:dyDescent="0.3">
      <c r="A21" s="18"/>
      <c r="B21" s="18"/>
      <c r="C21" s="18"/>
      <c r="D21" s="18"/>
      <c r="E21" s="18"/>
      <c r="F21" s="201" t="s">
        <v>52</v>
      </c>
      <c r="G21" s="202"/>
      <c r="H21" s="14">
        <f>E15</f>
        <v>318</v>
      </c>
      <c r="I21" s="15" t="s">
        <v>47</v>
      </c>
      <c r="J21" s="18"/>
    </row>
    <row r="22" spans="1:10" ht="15.75" thickBot="1" x14ac:dyDescent="0.3">
      <c r="A22" s="18"/>
      <c r="B22" s="18"/>
      <c r="C22" s="18"/>
      <c r="D22" s="18"/>
      <c r="E22" s="18"/>
      <c r="F22" s="205"/>
      <c r="G22" s="206"/>
      <c r="H22" s="206"/>
      <c r="I22" s="207"/>
      <c r="J22" s="18"/>
    </row>
    <row r="23" spans="1:10" ht="15.75" thickBot="1" x14ac:dyDescent="0.3">
      <c r="A23" s="18"/>
      <c r="B23" s="18"/>
      <c r="C23" s="18"/>
      <c r="D23" s="18"/>
      <c r="E23" s="18"/>
      <c r="F23" s="203" t="s">
        <v>53</v>
      </c>
      <c r="G23" s="204"/>
      <c r="H23" s="16">
        <f>SUM(H19:H22)</f>
        <v>2059.5</v>
      </c>
      <c r="I23" s="17" t="s">
        <v>47</v>
      </c>
      <c r="J23" s="18"/>
    </row>
    <row r="24" spans="1:10" ht="15.75" thickTop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</sheetData>
  <mergeCells count="6">
    <mergeCell ref="A1:J1"/>
    <mergeCell ref="F19:G19"/>
    <mergeCell ref="F21:G21"/>
    <mergeCell ref="F23:G23"/>
    <mergeCell ref="F20:I20"/>
    <mergeCell ref="F22:I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workbookViewId="0">
      <selection activeCell="D8" sqref="D8"/>
    </sheetView>
  </sheetViews>
  <sheetFormatPr defaultRowHeight="15" x14ac:dyDescent="0.25"/>
  <cols>
    <col min="2" max="2" width="16.42578125" customWidth="1"/>
    <col min="3" max="3" width="19.42578125" customWidth="1"/>
    <col min="4" max="4" width="28.42578125" customWidth="1"/>
    <col min="7" max="7" width="17.5703125" customWidth="1"/>
  </cols>
  <sheetData>
    <row r="1" spans="1:10" ht="18" x14ac:dyDescent="0.25">
      <c r="A1" s="198" t="s">
        <v>31</v>
      </c>
      <c r="B1" s="198"/>
      <c r="C1" s="198"/>
      <c r="D1" s="198"/>
      <c r="E1" s="198"/>
    </row>
    <row r="2" spans="1:10" x14ac:dyDescent="0.25">
      <c r="A2" s="18" t="s">
        <v>32</v>
      </c>
      <c r="B2" s="18"/>
      <c r="C2" s="18"/>
      <c r="D2" s="18"/>
      <c r="E2" s="18"/>
    </row>
    <row r="3" spans="1:10" x14ac:dyDescent="0.25">
      <c r="A3" s="18"/>
      <c r="B3" s="18" t="s">
        <v>14</v>
      </c>
      <c r="C3" s="18"/>
      <c r="D3" s="18"/>
      <c r="E3" s="18"/>
    </row>
    <row r="4" spans="1:10" x14ac:dyDescent="0.25">
      <c r="A4" s="18"/>
      <c r="B4" s="18" t="s">
        <v>15</v>
      </c>
      <c r="C4" s="18"/>
      <c r="D4" s="18"/>
      <c r="E4" s="18"/>
    </row>
    <row r="5" spans="1:10" x14ac:dyDescent="0.25">
      <c r="A5" s="18"/>
      <c r="B5" s="18" t="s">
        <v>16</v>
      </c>
      <c r="C5" s="18"/>
      <c r="D5" s="18"/>
      <c r="E5" s="18"/>
    </row>
    <row r="6" spans="1:10" x14ac:dyDescent="0.25">
      <c r="A6" s="18"/>
      <c r="B6" s="18" t="s">
        <v>17</v>
      </c>
      <c r="C6" s="18"/>
      <c r="D6" s="18"/>
      <c r="E6" s="18"/>
    </row>
    <row r="7" spans="1:10" x14ac:dyDescent="0.25">
      <c r="A7" s="18"/>
      <c r="B7" s="120" t="s">
        <v>133</v>
      </c>
      <c r="C7" s="18"/>
      <c r="D7" s="140">
        <v>0.3</v>
      </c>
      <c r="E7" s="18"/>
    </row>
    <row r="8" spans="1:10" x14ac:dyDescent="0.25">
      <c r="A8" s="18"/>
      <c r="B8" s="18"/>
      <c r="C8" s="18"/>
      <c r="D8" s="18"/>
      <c r="E8" s="18"/>
      <c r="G8" s="5"/>
    </row>
    <row r="9" spans="1:10" x14ac:dyDescent="0.25">
      <c r="A9" s="18"/>
      <c r="B9" s="20" t="s">
        <v>20</v>
      </c>
      <c r="C9" s="18" t="s">
        <v>22</v>
      </c>
      <c r="D9" s="18"/>
      <c r="E9" s="18"/>
    </row>
    <row r="10" spans="1:10" ht="15.75" thickBot="1" x14ac:dyDescent="0.3">
      <c r="A10" s="18"/>
      <c r="B10" s="18"/>
      <c r="C10" s="18"/>
      <c r="D10" s="18"/>
      <c r="E10" s="18"/>
    </row>
    <row r="11" spans="1:10" ht="33.75" customHeight="1" thickTop="1" thickBot="1" x14ac:dyDescent="0.3">
      <c r="A11" s="18"/>
      <c r="B11" s="6" t="s">
        <v>23</v>
      </c>
      <c r="C11" s="7" t="s">
        <v>24</v>
      </c>
      <c r="D11" s="9" t="s">
        <v>25</v>
      </c>
      <c r="E11" s="18"/>
      <c r="H11" s="2"/>
    </row>
    <row r="12" spans="1:10" ht="15.75" thickBot="1" x14ac:dyDescent="0.3">
      <c r="A12" s="18"/>
      <c r="B12" s="10">
        <f>SUM(10.5+(6.6*D7)+(17.2*(POWER(D7,2))))</f>
        <v>14.028</v>
      </c>
      <c r="C12" s="8">
        <f>Project_Data!$P$32</f>
        <v>9</v>
      </c>
      <c r="D12" s="27">
        <f>SUM(B12*C12)</f>
        <v>126.25200000000001</v>
      </c>
      <c r="E12" s="18"/>
      <c r="H12" s="2"/>
    </row>
    <row r="13" spans="1:10" ht="15.75" thickTop="1" x14ac:dyDescent="0.25">
      <c r="A13" s="18"/>
      <c r="B13" s="23"/>
      <c r="C13" s="23"/>
      <c r="D13" s="23"/>
      <c r="E13" s="18"/>
      <c r="H13" s="2"/>
    </row>
    <row r="14" spans="1:10" x14ac:dyDescent="0.25">
      <c r="A14" s="18"/>
      <c r="B14" s="23"/>
      <c r="C14" s="23"/>
      <c r="D14" s="23"/>
      <c r="E14" s="18"/>
      <c r="H14" s="2"/>
      <c r="J14" s="2"/>
    </row>
    <row r="15" spans="1:10" x14ac:dyDescent="0.25">
      <c r="B15" s="2"/>
      <c r="C15" s="2"/>
      <c r="D15" s="2"/>
      <c r="H15" s="2"/>
    </row>
    <row r="16" spans="1:10" x14ac:dyDescent="0.25">
      <c r="B16" s="2"/>
      <c r="C16" s="2"/>
      <c r="D16" s="2"/>
      <c r="H16" s="2"/>
      <c r="J16" s="2"/>
    </row>
    <row r="17" spans="2:12" x14ac:dyDescent="0.25">
      <c r="B17" s="18"/>
      <c r="C17" s="18"/>
      <c r="D17" s="18"/>
      <c r="H17" s="2"/>
    </row>
    <row r="18" spans="2:12" x14ac:dyDescent="0.25">
      <c r="B18" s="19" t="s">
        <v>127</v>
      </c>
      <c r="C18" s="19"/>
      <c r="D18" s="20"/>
      <c r="H18" s="2"/>
    </row>
    <row r="19" spans="2:12" x14ac:dyDescent="0.25">
      <c r="B19" s="19">
        <v>0.1</v>
      </c>
      <c r="C19" s="22" t="s">
        <v>18</v>
      </c>
      <c r="D19" s="21" t="s">
        <v>130</v>
      </c>
      <c r="H19" s="2"/>
    </row>
    <row r="20" spans="2:12" x14ac:dyDescent="0.25">
      <c r="B20" s="19">
        <v>0.2</v>
      </c>
      <c r="C20" s="22" t="s">
        <v>18</v>
      </c>
      <c r="D20" s="21" t="s">
        <v>131</v>
      </c>
      <c r="H20" s="2"/>
    </row>
    <row r="21" spans="2:12" x14ac:dyDescent="0.25">
      <c r="B21" s="19">
        <v>0.3</v>
      </c>
      <c r="C21" s="22" t="s">
        <v>18</v>
      </c>
      <c r="D21" s="21" t="s">
        <v>128</v>
      </c>
      <c r="H21" s="2"/>
    </row>
    <row r="22" spans="2:12" x14ac:dyDescent="0.25">
      <c r="B22" s="19">
        <v>0.4</v>
      </c>
      <c r="C22" s="22" t="s">
        <v>18</v>
      </c>
      <c r="D22" s="21" t="s">
        <v>132</v>
      </c>
      <c r="H22" s="2"/>
    </row>
    <row r="23" spans="2:12" x14ac:dyDescent="0.25">
      <c r="B23" s="19">
        <v>0.5</v>
      </c>
      <c r="C23" s="22" t="s">
        <v>18</v>
      </c>
      <c r="D23" s="21" t="s">
        <v>129</v>
      </c>
    </row>
    <row r="24" spans="2:12" x14ac:dyDescent="0.25">
      <c r="B24" s="18"/>
      <c r="C24" s="18"/>
      <c r="D24" s="46"/>
      <c r="E24" s="3"/>
    </row>
    <row r="25" spans="2:12" x14ac:dyDescent="0.25">
      <c r="E25" s="4"/>
    </row>
    <row r="26" spans="2:12" x14ac:dyDescent="0.25">
      <c r="E26" s="3"/>
    </row>
    <row r="27" spans="2:12" x14ac:dyDescent="0.25">
      <c r="E27" s="3"/>
    </row>
    <row r="28" spans="2:12" x14ac:dyDescent="0.25">
      <c r="K28" s="2"/>
      <c r="L28" s="2"/>
    </row>
    <row r="29" spans="2:12" x14ac:dyDescent="0.25">
      <c r="K29" s="2"/>
      <c r="L29" s="2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workbookViewId="0">
      <selection activeCell="D12" sqref="D12"/>
    </sheetView>
  </sheetViews>
  <sheetFormatPr defaultRowHeight="15" x14ac:dyDescent="0.25"/>
  <sheetData>
    <row r="1" spans="1:13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8.75" customHeight="1" x14ac:dyDescent="0.25">
      <c r="A2" s="208" t="s">
        <v>75</v>
      </c>
      <c r="B2" s="208"/>
      <c r="C2" s="208"/>
      <c r="D2" s="208"/>
      <c r="E2" s="208"/>
      <c r="F2" s="208"/>
      <c r="G2" s="208"/>
      <c r="H2" s="208"/>
      <c r="I2" s="208"/>
      <c r="J2" s="208"/>
      <c r="K2" s="18"/>
      <c r="L2" s="18"/>
      <c r="M2" s="18"/>
    </row>
    <row r="3" spans="1:13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25">
      <c r="A4" s="116"/>
      <c r="B4" s="117" t="s">
        <v>119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x14ac:dyDescent="0.25">
      <c r="A5" s="116"/>
      <c r="B5" s="118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1:13" x14ac:dyDescent="0.2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</row>
    <row r="7" spans="1:13" x14ac:dyDescent="0.25">
      <c r="A7" s="116"/>
      <c r="B7" s="119" t="s">
        <v>120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</row>
    <row r="8" spans="1:13" x14ac:dyDescent="0.25">
      <c r="A8" s="116"/>
      <c r="B8" s="119" t="s">
        <v>121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</row>
    <row r="9" spans="1:13" x14ac:dyDescent="0.25">
      <c r="A9" s="116"/>
      <c r="B9" s="119" t="s">
        <v>122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1:13" x14ac:dyDescent="0.25">
      <c r="A10" s="116"/>
      <c r="B10" s="117" t="s">
        <v>123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1" spans="1:13" x14ac:dyDescent="0.2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</row>
    <row r="12" spans="1:13" x14ac:dyDescent="0.25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</row>
  </sheetData>
  <mergeCells count="1">
    <mergeCell ref="A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workbookViewId="0">
      <selection activeCell="C21" sqref="C21"/>
    </sheetView>
  </sheetViews>
  <sheetFormatPr defaultRowHeight="15" x14ac:dyDescent="0.25"/>
  <cols>
    <col min="2" max="2" width="43" customWidth="1"/>
    <col min="3" max="3" width="18.28515625" customWidth="1"/>
  </cols>
  <sheetData>
    <row r="1" spans="1:14" x14ac:dyDescent="0.25">
      <c r="A1" s="18"/>
      <c r="B1" s="18"/>
      <c r="C1" s="18"/>
      <c r="D1" s="18"/>
    </row>
    <row r="2" spans="1:14" ht="18" x14ac:dyDescent="0.25">
      <c r="A2" s="18"/>
      <c r="B2" s="31" t="s">
        <v>69</v>
      </c>
      <c r="C2" s="18"/>
      <c r="D2" s="18"/>
    </row>
    <row r="3" spans="1:14" ht="15" customHeight="1" x14ac:dyDescent="0.25">
      <c r="A3" s="18"/>
      <c r="B3" s="31"/>
      <c r="C3" s="18"/>
      <c r="D3" s="18"/>
    </row>
    <row r="4" spans="1:14" ht="15" customHeight="1" x14ac:dyDescent="0.25">
      <c r="A4" s="18"/>
      <c r="B4" s="18"/>
      <c r="C4" s="18"/>
      <c r="D4" s="18"/>
    </row>
    <row r="5" spans="1:14" ht="15" customHeight="1" x14ac:dyDescent="0.25">
      <c r="A5" s="18"/>
      <c r="B5" s="32" t="s">
        <v>68</v>
      </c>
      <c r="C5" s="18"/>
      <c r="D5" s="18"/>
    </row>
    <row r="6" spans="1:14" ht="15" customHeight="1" x14ac:dyDescent="0.25">
      <c r="A6" s="18"/>
      <c r="B6" s="33"/>
      <c r="C6" s="18"/>
      <c r="D6" s="18"/>
    </row>
    <row r="7" spans="1:14" ht="15" customHeight="1" x14ac:dyDescent="0.25">
      <c r="A7" s="18"/>
      <c r="B7" s="18"/>
      <c r="C7" s="18"/>
      <c r="D7" s="18"/>
      <c r="I7" s="29"/>
      <c r="J7" s="29"/>
      <c r="K7" s="29"/>
      <c r="L7" s="29"/>
      <c r="M7" s="29"/>
      <c r="N7" s="29"/>
    </row>
    <row r="8" spans="1:14" ht="15" customHeight="1" x14ac:dyDescent="0.25">
      <c r="A8" s="18"/>
      <c r="B8" s="35" t="s">
        <v>70</v>
      </c>
      <c r="C8" s="36">
        <f>Project_Data!$P$14</f>
        <v>2.69</v>
      </c>
      <c r="D8" s="18"/>
    </row>
    <row r="9" spans="1:14" ht="15" customHeight="1" x14ac:dyDescent="0.25">
      <c r="A9" s="18"/>
      <c r="B9" s="35" t="s">
        <v>71</v>
      </c>
      <c r="C9" s="40">
        <f>Project_Data!$P$15</f>
        <v>9.8000000000000004E-2</v>
      </c>
      <c r="D9" s="18"/>
    </row>
    <row r="10" spans="1:14" ht="15" customHeight="1" x14ac:dyDescent="0.25">
      <c r="A10" s="18"/>
      <c r="B10" s="35" t="s">
        <v>72</v>
      </c>
      <c r="C10" s="37">
        <f>Project_Data!$P$16</f>
        <v>0.5</v>
      </c>
      <c r="D10" s="18"/>
    </row>
    <row r="11" spans="1:14" ht="15" customHeight="1" x14ac:dyDescent="0.25">
      <c r="A11" s="18"/>
      <c r="B11" s="35" t="s">
        <v>73</v>
      </c>
      <c r="C11" s="38">
        <f>Project_Data!$P$18</f>
        <v>8500</v>
      </c>
      <c r="D11" s="18"/>
    </row>
    <row r="12" spans="1:14" ht="15" customHeight="1" x14ac:dyDescent="0.25">
      <c r="A12" s="18"/>
      <c r="B12" s="39" t="s">
        <v>74</v>
      </c>
      <c r="C12" s="115">
        <f>SUM(1500*(C8)*(C9)*(C10)*(POWER(1-0.14,(C11/3000))))</f>
        <v>128.95907151192023</v>
      </c>
      <c r="D12" s="34"/>
      <c r="E12" s="30"/>
      <c r="F12" s="30"/>
      <c r="G12" s="30"/>
      <c r="H12" s="30"/>
    </row>
    <row r="13" spans="1:14" x14ac:dyDescent="0.25">
      <c r="A13" s="18"/>
      <c r="B13" s="18"/>
      <c r="C13" s="23"/>
      <c r="D13" s="18"/>
    </row>
    <row r="14" spans="1:14" x14ac:dyDescent="0.25">
      <c r="A14" s="18"/>
      <c r="B14" s="18"/>
      <c r="C14" s="18"/>
      <c r="D14" s="18"/>
    </row>
    <row r="15" spans="1:14" x14ac:dyDescent="0.25">
      <c r="A15" s="18"/>
      <c r="B15" s="18"/>
      <c r="C15" s="18"/>
      <c r="D15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workbookViewId="0">
      <selection activeCell="C19" sqref="C19"/>
    </sheetView>
  </sheetViews>
  <sheetFormatPr defaultRowHeight="15" x14ac:dyDescent="0.25"/>
  <cols>
    <col min="2" max="2" width="31.7109375" customWidth="1"/>
    <col min="5" max="5" width="7.85546875" customWidth="1"/>
    <col min="6" max="6" width="18.28515625" customWidth="1"/>
  </cols>
  <sheetData>
    <row r="1" spans="1:14" x14ac:dyDescent="0.25">
      <c r="A1" s="18"/>
      <c r="B1" s="18"/>
      <c r="C1" s="18"/>
      <c r="D1" s="18"/>
      <c r="E1" s="18"/>
      <c r="F1" s="18"/>
    </row>
    <row r="2" spans="1:14" ht="18" x14ac:dyDescent="0.25">
      <c r="A2" s="18"/>
      <c r="B2" s="31" t="s">
        <v>76</v>
      </c>
      <c r="C2" s="18"/>
      <c r="D2" s="18"/>
      <c r="E2" s="18"/>
      <c r="F2" s="18"/>
    </row>
    <row r="3" spans="1:14" ht="15" customHeight="1" x14ac:dyDescent="0.25">
      <c r="A3" s="18"/>
      <c r="B3" s="18"/>
      <c r="C3" s="18"/>
      <c r="D3" s="18"/>
      <c r="E3" s="18"/>
      <c r="F3" s="18"/>
    </row>
    <row r="4" spans="1:14" ht="15" customHeight="1" x14ac:dyDescent="0.25">
      <c r="A4" s="18"/>
      <c r="B4" s="209" t="s">
        <v>77</v>
      </c>
      <c r="C4" s="209"/>
      <c r="D4" s="209"/>
      <c r="E4" s="209"/>
      <c r="F4" s="209"/>
    </row>
    <row r="5" spans="1:14" ht="15" customHeight="1" x14ac:dyDescent="0.25">
      <c r="A5" s="18"/>
      <c r="B5" s="33"/>
      <c r="C5" s="21"/>
      <c r="D5" s="21"/>
      <c r="E5" s="21"/>
      <c r="F5" s="21"/>
    </row>
    <row r="6" spans="1:14" ht="15" customHeight="1" x14ac:dyDescent="0.25">
      <c r="A6" s="18"/>
      <c r="B6" s="210" t="s">
        <v>80</v>
      </c>
      <c r="C6" s="210"/>
      <c r="D6" s="210"/>
      <c r="E6" s="44">
        <f>Project_Data!P19</f>
        <v>16.53</v>
      </c>
      <c r="F6" s="42"/>
    </row>
    <row r="7" spans="1:14" ht="15" customHeight="1" x14ac:dyDescent="0.25">
      <c r="A7" s="18"/>
      <c r="B7" s="210" t="s">
        <v>78</v>
      </c>
      <c r="C7" s="210"/>
      <c r="D7" s="210"/>
      <c r="E7" s="44">
        <f>Project_Data!P20</f>
        <v>0.5</v>
      </c>
      <c r="F7" s="42"/>
    </row>
    <row r="8" spans="1:14" ht="15" customHeight="1" x14ac:dyDescent="0.25">
      <c r="A8" s="18"/>
      <c r="B8" s="211" t="s">
        <v>79</v>
      </c>
      <c r="C8" s="211"/>
      <c r="D8" s="211"/>
      <c r="E8" s="43">
        <f>SUM(POWER(Project_Data!P19/(3+(4*Project_Data!P20)+(44*POWER(Project_Data!P20,2))-(60*POWER(Project_Data!P20,3))),0.455))</f>
        <v>1.353407370199581</v>
      </c>
      <c r="F8" s="42"/>
    </row>
    <row r="9" spans="1:14" x14ac:dyDescent="0.25">
      <c r="A9" s="18"/>
      <c r="B9" s="18"/>
      <c r="C9" s="18"/>
      <c r="D9" s="18"/>
      <c r="E9" s="18"/>
      <c r="F9" s="18"/>
    </row>
    <row r="10" spans="1:14" x14ac:dyDescent="0.25">
      <c r="A10" s="18"/>
      <c r="B10" s="18"/>
      <c r="C10" s="18"/>
      <c r="D10" s="18"/>
      <c r="E10" s="18"/>
      <c r="F10" s="18"/>
    </row>
    <row r="13" spans="1:14" x14ac:dyDescent="0.25">
      <c r="E13" s="41"/>
    </row>
    <row r="15" spans="1:14" ht="15" customHeight="1" x14ac:dyDescent="0.25">
      <c r="K15" s="47"/>
      <c r="L15" s="47"/>
      <c r="M15" s="47"/>
      <c r="N15" s="47"/>
    </row>
    <row r="16" spans="1:14" ht="15" customHeight="1" x14ac:dyDescent="0.25">
      <c r="B16" s="48" t="s">
        <v>124</v>
      </c>
      <c r="C16">
        <f>SUM((4*E7))</f>
        <v>2</v>
      </c>
      <c r="I16" s="47"/>
      <c r="J16" s="47"/>
      <c r="K16" s="47"/>
      <c r="L16" s="47"/>
      <c r="M16" s="47"/>
      <c r="N16" s="47"/>
    </row>
    <row r="17" spans="2:14" x14ac:dyDescent="0.25">
      <c r="B17" s="48" t="s">
        <v>91</v>
      </c>
      <c r="C17">
        <f>SUM(POWER(E7,2))</f>
        <v>0.25</v>
      </c>
      <c r="K17" s="47"/>
      <c r="L17" s="47"/>
      <c r="M17" s="47"/>
      <c r="N17" s="47"/>
    </row>
    <row r="18" spans="2:14" x14ac:dyDescent="0.25">
      <c r="B18" s="48" t="s">
        <v>85</v>
      </c>
      <c r="C18">
        <f>SUM(44*POWER(E7,2))</f>
        <v>11</v>
      </c>
      <c r="J18" s="47"/>
      <c r="K18" s="47"/>
      <c r="L18" s="47"/>
      <c r="M18" s="47"/>
    </row>
    <row r="19" spans="2:14" x14ac:dyDescent="0.25">
      <c r="B19" s="48" t="s">
        <v>86</v>
      </c>
      <c r="C19" s="2">
        <f>SUM(POWER(E7,3))</f>
        <v>0.125</v>
      </c>
    </row>
    <row r="20" spans="2:14" x14ac:dyDescent="0.25">
      <c r="B20" s="48" t="s">
        <v>87</v>
      </c>
      <c r="C20">
        <f>SUM(60*POWER(E7,3))</f>
        <v>7.5</v>
      </c>
    </row>
    <row r="21" spans="2:14" x14ac:dyDescent="0.25">
      <c r="B21" s="48" t="s">
        <v>88</v>
      </c>
      <c r="C21">
        <f>SUM(3+C16+C18-C20)</f>
        <v>8.5</v>
      </c>
    </row>
    <row r="22" spans="2:14" x14ac:dyDescent="0.25">
      <c r="B22" s="48" t="s">
        <v>89</v>
      </c>
      <c r="C22" s="2">
        <f>SUM((E6)/C21)</f>
        <v>1.9447058823529413</v>
      </c>
    </row>
    <row r="23" spans="2:14" ht="15" customHeight="1" x14ac:dyDescent="0.25">
      <c r="B23" s="48" t="s">
        <v>90</v>
      </c>
      <c r="C23" s="2">
        <f>POWER(C22,0.455)</f>
        <v>1.353407370199581</v>
      </c>
      <c r="H23" s="47"/>
      <c r="I23" s="47"/>
      <c r="J23" s="47"/>
      <c r="K23" s="47"/>
    </row>
  </sheetData>
  <mergeCells count="4">
    <mergeCell ref="B4:F4"/>
    <mergeCell ref="B6:D6"/>
    <mergeCell ref="B7:D7"/>
    <mergeCell ref="B8:D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0"/>
  <sheetViews>
    <sheetView workbookViewId="0">
      <selection activeCell="J13" sqref="J13"/>
    </sheetView>
  </sheetViews>
  <sheetFormatPr defaultRowHeight="15" x14ac:dyDescent="0.25"/>
  <sheetData>
    <row r="2" spans="2:2" x14ac:dyDescent="0.25">
      <c r="B2" s="28"/>
    </row>
    <row r="3" spans="2:2" x14ac:dyDescent="0.25">
      <c r="B3" s="26"/>
    </row>
    <row r="4" spans="2:2" x14ac:dyDescent="0.25">
      <c r="B4" s="28"/>
    </row>
    <row r="5" spans="2:2" x14ac:dyDescent="0.25">
      <c r="B5" s="26"/>
    </row>
    <row r="6" spans="2:2" x14ac:dyDescent="0.25">
      <c r="B6" s="28"/>
    </row>
    <row r="7" spans="2:2" x14ac:dyDescent="0.25">
      <c r="B7" s="26"/>
    </row>
    <row r="8" spans="2:2" x14ac:dyDescent="0.25">
      <c r="B8" s="28"/>
    </row>
    <row r="9" spans="2:2" x14ac:dyDescent="0.25">
      <c r="B9" s="26"/>
    </row>
    <row r="10" spans="2:2" x14ac:dyDescent="0.25">
      <c r="B10" s="28"/>
    </row>
    <row r="11" spans="2:2" x14ac:dyDescent="0.25">
      <c r="B11" s="26"/>
    </row>
    <row r="12" spans="2:2" x14ac:dyDescent="0.25">
      <c r="B12" s="28"/>
    </row>
    <row r="13" spans="2:2" x14ac:dyDescent="0.25">
      <c r="B13" s="26"/>
    </row>
    <row r="14" spans="2:2" x14ac:dyDescent="0.25">
      <c r="B14" s="28"/>
    </row>
    <row r="15" spans="2:2" x14ac:dyDescent="0.25">
      <c r="B15" s="26"/>
    </row>
    <row r="16" spans="2:2" x14ac:dyDescent="0.25">
      <c r="B16" s="28"/>
    </row>
    <row r="17" spans="2:2" x14ac:dyDescent="0.25">
      <c r="B17" s="26"/>
    </row>
    <row r="18" spans="2:2" x14ac:dyDescent="0.25">
      <c r="B18" s="28"/>
    </row>
    <row r="19" spans="2:2" x14ac:dyDescent="0.25">
      <c r="B19" s="26"/>
    </row>
    <row r="20" spans="2:2" x14ac:dyDescent="0.25">
      <c r="B20" s="2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Project_Data</vt:lpstr>
      <vt:lpstr>Data</vt:lpstr>
      <vt:lpstr>Minimum_Parallel_Setbacks</vt:lpstr>
      <vt:lpstr>Ditch_Area_Reducing</vt:lpstr>
      <vt:lpstr>Reduced_Setback</vt:lpstr>
      <vt:lpstr>Greatest_Transport</vt:lpstr>
      <vt:lpstr>Mean_Snow_Transport</vt:lpstr>
      <vt:lpstr>Fence_Height</vt:lpstr>
      <vt:lpstr>UOFM_Data</vt:lpstr>
      <vt:lpstr>WindMap</vt:lpstr>
    </vt:vector>
  </TitlesOfParts>
  <Company>MNDOT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Moline</dc:creator>
  <cp:lastModifiedBy>Daniel Gullickson</cp:lastModifiedBy>
  <cp:lastPrinted>2014-10-14T13:01:24Z</cp:lastPrinted>
  <dcterms:created xsi:type="dcterms:W3CDTF">2014-06-05T16:07:59Z</dcterms:created>
  <dcterms:modified xsi:type="dcterms:W3CDTF">2016-05-10T19:28:08Z</dcterms:modified>
</cp:coreProperties>
</file>