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30" yWindow="90" windowWidth="17265" windowHeight="11850" tabRatio="950"/>
  </bookViews>
  <sheets>
    <sheet name="Project_Data" sheetId="3" r:id="rId1"/>
    <sheet name="Minimum_Parallel_Setbacks" sheetId="1" r:id="rId2"/>
    <sheet name="Number_of_Rows" sheetId="4" r:id="rId3"/>
    <sheet name="Ditch_Area_Reducing" sheetId="5" r:id="rId4"/>
    <sheet name="Reduced_Setback" sheetId="2" r:id="rId5"/>
    <sheet name="Planting_Steep_Slopes" sheetId="7" r:id="rId6"/>
    <sheet name="Data" sheetId="6" r:id="rId7"/>
    <sheet name="Greatest_Transport" sheetId="9" r:id="rId8"/>
    <sheet name="Mean_Snow_Transport" sheetId="8" r:id="rId9"/>
    <sheet name="Fence_Height" sheetId="10" r:id="rId10"/>
    <sheet name="UOFM_Data" sheetId="11" r:id="rId11"/>
  </sheets>
  <externalReferences>
    <externalReference r:id="rId12"/>
    <externalReference r:id="rId13"/>
  </externalReferences>
  <calcPr calcId="145621"/>
</workbook>
</file>

<file path=xl/calcChain.xml><?xml version="1.0" encoding="utf-8"?>
<calcChain xmlns="http://schemas.openxmlformats.org/spreadsheetml/2006/main">
  <c r="C64" i="3" l="1"/>
  <c r="Q67" i="3" l="1"/>
  <c r="W72" i="3"/>
  <c r="C10" i="5"/>
  <c r="W76" i="3"/>
  <c r="U40" i="3"/>
  <c r="A1" i="3"/>
  <c r="C16" i="10" l="1"/>
  <c r="C20" i="10"/>
  <c r="C18" i="10"/>
  <c r="C19" i="10"/>
  <c r="C17" i="10"/>
  <c r="C21" i="10" l="1"/>
  <c r="Q50" i="3"/>
  <c r="E17" i="1"/>
  <c r="E8" i="10"/>
  <c r="E7" i="10"/>
  <c r="E6" i="10"/>
  <c r="C11" i="8"/>
  <c r="C10" i="8"/>
  <c r="C9" i="8"/>
  <c r="C8" i="8"/>
  <c r="E11" i="7"/>
  <c r="D11" i="7"/>
  <c r="C11" i="7"/>
  <c r="C22" i="10" l="1"/>
  <c r="C23" i="10" s="1"/>
  <c r="F11" i="7"/>
  <c r="Q62" i="3" s="1"/>
  <c r="C12" i="8"/>
  <c r="Q49" i="3"/>
  <c r="Q61" i="3" l="1"/>
  <c r="E18" i="6" l="1"/>
  <c r="E17" i="6"/>
  <c r="E16" i="6"/>
  <c r="E15" i="6"/>
  <c r="E14" i="6"/>
  <c r="E13" i="6"/>
  <c r="E12" i="6"/>
  <c r="E11" i="6"/>
  <c r="E10" i="6"/>
  <c r="E9" i="6"/>
  <c r="E8" i="6"/>
  <c r="E7" i="6"/>
  <c r="E6" i="6"/>
  <c r="E5" i="6"/>
  <c r="E4" i="6"/>
  <c r="E3" i="6"/>
  <c r="E2" i="6"/>
  <c r="C12" i="2"/>
  <c r="B12" i="2"/>
  <c r="E15" i="5"/>
  <c r="H19" i="5"/>
  <c r="E11" i="5" s="1"/>
  <c r="D65" i="3"/>
  <c r="E65" i="3"/>
  <c r="F65" i="3"/>
  <c r="G65" i="3"/>
  <c r="H65" i="3"/>
  <c r="I65" i="3"/>
  <c r="J65" i="3"/>
  <c r="K65" i="3"/>
  <c r="L65" i="3"/>
  <c r="M65" i="3"/>
  <c r="N65" i="3"/>
  <c r="O65" i="3"/>
  <c r="P65" i="3"/>
  <c r="Q65" i="3"/>
  <c r="R65" i="3"/>
  <c r="S65" i="3"/>
  <c r="T65" i="3"/>
  <c r="U65" i="3"/>
  <c r="V65" i="3"/>
  <c r="W65" i="3"/>
  <c r="X65" i="3"/>
  <c r="Y65" i="3"/>
  <c r="O71" i="3" l="1"/>
  <c r="K71" i="3"/>
  <c r="H21" i="5"/>
  <c r="M71" i="3"/>
  <c r="D12" i="2"/>
  <c r="Q76" i="3" s="1"/>
  <c r="H23" i="5" l="1"/>
  <c r="Q71" i="3" s="1"/>
  <c r="Q72" i="3" s="1"/>
  <c r="C53" i="3"/>
  <c r="F53" i="3"/>
  <c r="C54" i="3"/>
  <c r="F54" i="3"/>
  <c r="G54" i="3"/>
  <c r="H54" i="3"/>
  <c r="I54" i="3"/>
  <c r="J54" i="3"/>
  <c r="K54" i="3"/>
  <c r="L54" i="3"/>
  <c r="M54" i="3"/>
  <c r="N54" i="3"/>
  <c r="O54" i="3"/>
  <c r="P54" i="3"/>
  <c r="Q54" i="3"/>
  <c r="R54" i="3"/>
  <c r="S54" i="3"/>
  <c r="T54" i="3"/>
  <c r="U54" i="3"/>
  <c r="V54" i="3"/>
  <c r="W54" i="3"/>
  <c r="X54" i="3"/>
  <c r="Y54" i="3"/>
  <c r="Z54" i="3"/>
  <c r="AA54" i="3"/>
  <c r="F55" i="3"/>
  <c r="C56" i="3"/>
  <c r="D56" i="3"/>
  <c r="E56" i="3"/>
  <c r="F56" i="3"/>
  <c r="G56" i="3"/>
  <c r="H56" i="3"/>
  <c r="I56" i="3"/>
  <c r="J56" i="3"/>
  <c r="K56" i="3"/>
  <c r="L56" i="3"/>
  <c r="M56" i="3"/>
  <c r="N56" i="3"/>
  <c r="O56" i="3"/>
  <c r="P56" i="3"/>
  <c r="Q56" i="3"/>
  <c r="R56" i="3"/>
  <c r="S56" i="3"/>
  <c r="T56" i="3"/>
  <c r="U56" i="3"/>
  <c r="V56" i="3"/>
  <c r="W56" i="3"/>
  <c r="X56" i="3"/>
  <c r="Y56" i="3"/>
  <c r="Z56" i="3"/>
  <c r="AA56" i="3"/>
  <c r="C57" i="3"/>
  <c r="D57" i="3"/>
  <c r="E57" i="3"/>
  <c r="F57" i="3"/>
  <c r="G57" i="3"/>
  <c r="H57" i="3"/>
  <c r="I57" i="3"/>
  <c r="J57" i="3"/>
  <c r="K57" i="3"/>
  <c r="L57" i="3"/>
  <c r="M57" i="3"/>
  <c r="N57" i="3"/>
  <c r="O57" i="3"/>
  <c r="P57" i="3"/>
  <c r="Q57" i="3"/>
  <c r="R57" i="3"/>
  <c r="S57" i="3"/>
  <c r="T57" i="3"/>
  <c r="U57" i="3"/>
  <c r="V57" i="3"/>
  <c r="W57" i="3"/>
  <c r="X57" i="3"/>
  <c r="Y57" i="3"/>
  <c r="Z57" i="3"/>
  <c r="AA57" i="3"/>
  <c r="C58" i="3"/>
  <c r="D58" i="3"/>
  <c r="E58" i="3"/>
  <c r="F58" i="3"/>
  <c r="G58" i="3"/>
  <c r="H58" i="3"/>
  <c r="I58" i="3"/>
  <c r="J58" i="3"/>
  <c r="K58" i="3"/>
  <c r="L58" i="3"/>
  <c r="M58" i="3"/>
  <c r="N58" i="3"/>
  <c r="O58" i="3"/>
  <c r="P58" i="3"/>
  <c r="Q58" i="3"/>
  <c r="R58" i="3"/>
  <c r="S58" i="3"/>
  <c r="T58" i="3"/>
  <c r="U58" i="3"/>
  <c r="V58" i="3"/>
  <c r="W58" i="3"/>
  <c r="X58" i="3"/>
  <c r="Y58" i="3"/>
  <c r="Z58" i="3"/>
  <c r="AA58" i="3"/>
  <c r="C59" i="3"/>
  <c r="D59" i="3"/>
  <c r="E59" i="3"/>
  <c r="F59" i="3"/>
  <c r="G59" i="3"/>
  <c r="H59" i="3"/>
  <c r="I59" i="3"/>
  <c r="J59" i="3"/>
  <c r="K59" i="3"/>
  <c r="L59" i="3"/>
  <c r="M59" i="3"/>
  <c r="N59" i="3"/>
  <c r="O59" i="3"/>
  <c r="P59" i="3"/>
  <c r="Q59" i="3"/>
  <c r="R59" i="3"/>
  <c r="S59" i="3"/>
  <c r="T59" i="3"/>
  <c r="U59" i="3"/>
  <c r="V59" i="3"/>
  <c r="W59" i="3"/>
  <c r="X59" i="3"/>
  <c r="Y59" i="3"/>
  <c r="Z59" i="3"/>
  <c r="AA59" i="3"/>
  <c r="C44" i="3"/>
  <c r="V45" i="3"/>
  <c r="X45" i="3"/>
  <c r="Z45" i="3"/>
  <c r="V46" i="3"/>
  <c r="X46" i="3"/>
  <c r="Z46" i="3"/>
  <c r="V47" i="3"/>
  <c r="X47" i="3"/>
  <c r="Z47" i="3"/>
  <c r="V48" i="3"/>
  <c r="X48" i="3"/>
  <c r="Z48" i="3"/>
  <c r="V49" i="3"/>
  <c r="X49" i="3"/>
  <c r="Z49" i="3"/>
  <c r="D17" i="1" l="1"/>
  <c r="C17" i="1"/>
  <c r="C9" i="4"/>
  <c r="Q42" i="3" s="1"/>
  <c r="B4" i="4"/>
  <c r="B3" i="4"/>
  <c r="Q77" i="3" l="1"/>
  <c r="Q68" i="3"/>
  <c r="Q73" i="3"/>
  <c r="F17" i="1"/>
  <c r="Q40" i="3" l="1"/>
</calcChain>
</file>

<file path=xl/sharedStrings.xml><?xml version="1.0" encoding="utf-8"?>
<sst xmlns="http://schemas.openxmlformats.org/spreadsheetml/2006/main" count="232" uniqueCount="160">
  <si>
    <t>Measured perpendicular to the road</t>
  </si>
  <si>
    <t>setbacks are on the order of 20 to35H pepending on porosity</t>
  </si>
  <si>
    <t>Minimum Setback for Parallel Fense to road</t>
  </si>
  <si>
    <t>H=Fence design height</t>
  </si>
  <si>
    <t>a= attack angle</t>
  </si>
  <si>
    <t>P=Porosity</t>
  </si>
  <si>
    <t>d=setback distance</t>
  </si>
  <si>
    <t>Fence Design Height</t>
  </si>
  <si>
    <t>Attack Angle</t>
  </si>
  <si>
    <t>Porosity</t>
  </si>
  <si>
    <t>What is the Fence Disgn Height?</t>
  </si>
  <si>
    <t>What is the Attack Angle?</t>
  </si>
  <si>
    <t>What is the Fence Design Porosity</t>
  </si>
  <si>
    <t>SetBack Distance from Shoulder PI</t>
  </si>
  <si>
    <t>L=length of the downwind drift</t>
  </si>
  <si>
    <t>H=Fence height</t>
  </si>
  <si>
    <t>A=Cross-sectional area of the downwind drift at a given time</t>
  </si>
  <si>
    <t>A€= Cross-sectional are of the equilibrium drift</t>
  </si>
  <si>
    <t>=</t>
  </si>
  <si>
    <t>A=</t>
  </si>
  <si>
    <t>L=</t>
  </si>
  <si>
    <t>feet</t>
  </si>
  <si>
    <t>H(10.5+6.6(A/Ae)+17.2((A/Ae)sq))</t>
  </si>
  <si>
    <t>Cross Section of equilibrium drift</t>
  </si>
  <si>
    <t>What is the Fence over Design Height?</t>
  </si>
  <si>
    <t>What is the shorten distance of an over Designed Snow Fence</t>
  </si>
  <si>
    <t>Project Data</t>
  </si>
  <si>
    <t>Project #</t>
  </si>
  <si>
    <t>Feet</t>
  </si>
  <si>
    <t>F=</t>
  </si>
  <si>
    <t>(F/Fp)sq=N</t>
  </si>
  <si>
    <t>UofM Fence Height</t>
  </si>
  <si>
    <t>Fp=</t>
  </si>
  <si>
    <t>Design proposed Height</t>
  </si>
  <si>
    <t>N=</t>
  </si>
  <si>
    <t>Number of Rows</t>
  </si>
  <si>
    <t>(8/5)sq=N=</t>
  </si>
  <si>
    <t>Rows</t>
  </si>
  <si>
    <t>Setbacks are from shoulder PI</t>
  </si>
  <si>
    <t>Page 200</t>
  </si>
  <si>
    <t>Reducing Setbacks by Over-Designing Height</t>
  </si>
  <si>
    <t>page 202</t>
  </si>
  <si>
    <t>What is the ditch depth?</t>
  </si>
  <si>
    <t>Rise</t>
  </si>
  <si>
    <t>Run</t>
  </si>
  <si>
    <t>What is the Inslope?</t>
  </si>
  <si>
    <t>What is the Backslope?</t>
  </si>
  <si>
    <t>Reducing Right-of-way taking by recalculating last row distance by adding a Snow Control graded ditch</t>
  </si>
  <si>
    <t>Area of Drift Downwind of Fence</t>
  </si>
  <si>
    <t>Area of Drift down wind of fence</t>
  </si>
  <si>
    <t>A=21.5(H)sq</t>
  </si>
  <si>
    <t>A</t>
  </si>
  <si>
    <t>Area of downwind drift</t>
  </si>
  <si>
    <t>H=</t>
  </si>
  <si>
    <t>Height of design fence</t>
  </si>
  <si>
    <t>A=21.5(</t>
  </si>
  <si>
    <t>)sq</t>
  </si>
  <si>
    <t>sqft</t>
  </si>
  <si>
    <t>SqFt</t>
  </si>
  <si>
    <t xml:space="preserve">Area of the Snow Control Graded Ditch </t>
  </si>
  <si>
    <t>length * Width</t>
  </si>
  <si>
    <t xml:space="preserve">Area of Downwind Drift = </t>
  </si>
  <si>
    <t>Area of Snow Control Ditch=</t>
  </si>
  <si>
    <t>Snow Storage of Drift with Snow Control Ditch =</t>
  </si>
  <si>
    <t xml:space="preserve">feet </t>
  </si>
  <si>
    <t>from Should PI</t>
  </si>
  <si>
    <t>+</t>
  </si>
  <si>
    <t>(</t>
  </si>
  <si>
    <t>/(</t>
  </si>
  <si>
    <t>))=</t>
  </si>
  <si>
    <t>What is the inslope of the Clear Recovery Zone?</t>
  </si>
  <si>
    <r>
      <t xml:space="preserve">What is the inslope </t>
    </r>
    <r>
      <rPr>
        <b/>
        <sz val="11"/>
        <rFont val="Calibri"/>
        <family val="2"/>
        <scheme val="minor"/>
      </rPr>
      <t xml:space="preserve">After </t>
    </r>
    <r>
      <rPr>
        <sz val="11"/>
        <rFont val="Calibri"/>
        <family val="2"/>
        <scheme val="minor"/>
      </rPr>
      <t>of the Clear Recovery Zone?</t>
    </r>
  </si>
  <si>
    <t>Page 145</t>
  </si>
  <si>
    <t>Recommended Planting Pattern for Shrubs on Steep Slopes</t>
  </si>
  <si>
    <t>Height of Maturity Plates</t>
  </si>
  <si>
    <t>a=</t>
  </si>
  <si>
    <t>Slope Angle  Rise/Run</t>
  </si>
  <si>
    <t>D=</t>
  </si>
  <si>
    <t xml:space="preserve">Distance between rows </t>
  </si>
  <si>
    <t>H/(Tan a)</t>
  </si>
  <si>
    <t>What is the Design Height of the Maturity Plates</t>
  </si>
  <si>
    <t>What is the angle of the Slope</t>
  </si>
  <si>
    <t>Tan of Angle</t>
  </si>
  <si>
    <t>Distance between Rows</t>
  </si>
  <si>
    <t>Page 235</t>
  </si>
  <si>
    <t>S  =  Snowfall over Snow Accumulation Seasonal</t>
  </si>
  <si>
    <t>:</t>
  </si>
  <si>
    <t>SWE = Snow Water Equivalent Ratio</t>
  </si>
  <si>
    <t>r = Relocation Coefficient</t>
  </si>
  <si>
    <t>Direction of greatest snow transport</t>
  </si>
  <si>
    <t>tons/foot</t>
  </si>
  <si>
    <t>P = Porosity</t>
  </si>
  <si>
    <t>Q = Mean seasonal snow transport</t>
  </si>
  <si>
    <t>H = Fence Height</t>
  </si>
  <si>
    <t>Hp = Fence Height of</t>
  </si>
  <si>
    <t>Pp = Porosity</t>
  </si>
  <si>
    <r>
      <t>Q</t>
    </r>
    <r>
      <rPr>
        <b/>
        <vertAlign val="subscript"/>
        <sz val="9"/>
        <color theme="1"/>
        <rFont val="Verdana"/>
        <family val="2"/>
      </rPr>
      <t>t</t>
    </r>
    <r>
      <rPr>
        <b/>
        <sz val="9"/>
        <color theme="1"/>
        <rFont val="Verdana"/>
        <family val="2"/>
      </rPr>
      <t xml:space="preserve"> = 1500 (S)(SWE)(r)(1-0.14</t>
    </r>
    <r>
      <rPr>
        <b/>
        <vertAlign val="superscript"/>
        <sz val="9"/>
        <color theme="1"/>
        <rFont val="Verdana"/>
        <family val="2"/>
      </rPr>
      <t>F/3000</t>
    </r>
    <r>
      <rPr>
        <b/>
        <sz val="9"/>
        <color theme="1"/>
        <rFont val="Verdana"/>
        <family val="2"/>
      </rPr>
      <t>)</t>
    </r>
  </si>
  <si>
    <t>Formula for Mean Seasonal Snow Transport</t>
  </si>
  <si>
    <t>S = mean snowfall over SAS (ft) =</t>
  </si>
  <si>
    <t>SWE = mean snow water equivalent =</t>
  </si>
  <si>
    <t>r = relocation factor =</t>
  </si>
  <si>
    <t>F = fetch distance in meters =</t>
  </si>
  <si>
    <r>
      <t>Q</t>
    </r>
    <r>
      <rPr>
        <vertAlign val="subscript"/>
        <sz val="9"/>
        <color theme="1"/>
        <rFont val="Verdana"/>
        <family val="2"/>
      </rPr>
      <t>t</t>
    </r>
    <r>
      <rPr>
        <sz val="9"/>
        <color theme="1"/>
        <rFont val="Verdana"/>
        <family val="2"/>
      </rPr>
      <t xml:space="preserve"> = mean seasonal snow transport (t/m) =</t>
    </r>
  </si>
  <si>
    <r>
      <t>Q</t>
    </r>
    <r>
      <rPr>
        <vertAlign val="subscript"/>
        <sz val="9"/>
        <color theme="1"/>
        <rFont val="Verdana"/>
        <family val="2"/>
      </rPr>
      <t>upot</t>
    </r>
    <r>
      <rPr>
        <sz val="9"/>
        <color theme="1"/>
        <rFont val="Verdana"/>
        <family val="2"/>
      </rPr>
      <t xml:space="preserve"> = (</t>
    </r>
    <r>
      <rPr>
        <i/>
        <sz val="9"/>
        <color theme="1"/>
        <rFont val="Verdana"/>
        <family val="2"/>
      </rPr>
      <t>u</t>
    </r>
    <r>
      <rPr>
        <i/>
        <vertAlign val="subscript"/>
        <sz val="9"/>
        <color theme="1"/>
        <rFont val="Verdana"/>
        <family val="2"/>
      </rPr>
      <t>i</t>
    </r>
    <r>
      <rPr>
        <vertAlign val="superscript"/>
        <sz val="9"/>
        <color theme="1"/>
        <rFont val="Verdana"/>
        <family val="2"/>
      </rPr>
      <t>3.8</t>
    </r>
    <r>
      <rPr>
        <sz val="9"/>
        <color theme="1"/>
        <rFont val="Verdana"/>
        <family val="2"/>
      </rPr>
      <t>/233847)(</t>
    </r>
    <r>
      <rPr>
        <i/>
        <sz val="9"/>
        <color theme="1"/>
        <rFont val="Verdana"/>
        <family val="2"/>
      </rPr>
      <t>f</t>
    </r>
    <r>
      <rPr>
        <sz val="9"/>
        <color theme="1"/>
        <rFont val="Verdana"/>
        <family val="2"/>
      </rPr>
      <t>)(86400)(</t>
    </r>
    <r>
      <rPr>
        <i/>
        <sz val="9"/>
        <color theme="1"/>
        <rFont val="Verdana"/>
        <family val="2"/>
      </rPr>
      <t>n</t>
    </r>
    <r>
      <rPr>
        <sz val="9"/>
        <color theme="1"/>
        <rFont val="Verdana"/>
        <family val="2"/>
      </rPr>
      <t>)</t>
    </r>
  </si>
  <si>
    <r>
      <t>Q</t>
    </r>
    <r>
      <rPr>
        <vertAlign val="subscript"/>
        <sz val="9"/>
        <color theme="1"/>
        <rFont val="Verdana"/>
        <family val="2"/>
      </rPr>
      <t>upot</t>
    </r>
    <r>
      <rPr>
        <sz val="9"/>
        <color theme="1"/>
        <rFont val="Verdana"/>
        <family val="2"/>
      </rPr>
      <t xml:space="preserve"> is the potential snow transport in kg/m downwind from a fetch of infinite extent with an unlimited snow cover.</t>
    </r>
  </si>
  <si>
    <r>
      <t>u</t>
    </r>
    <r>
      <rPr>
        <i/>
        <vertAlign val="subscript"/>
        <sz val="9"/>
        <color theme="1"/>
        <rFont val="Verdana"/>
        <family val="2"/>
      </rPr>
      <t>i</t>
    </r>
    <r>
      <rPr>
        <sz val="9"/>
        <color theme="1"/>
        <rFont val="Verdana"/>
        <family val="2"/>
      </rPr>
      <t xml:space="preserve"> = is the midpoint of the </t>
    </r>
    <r>
      <rPr>
        <i/>
        <sz val="9"/>
        <color theme="1"/>
        <rFont val="Verdana"/>
        <family val="2"/>
      </rPr>
      <t>ith</t>
    </r>
    <r>
      <rPr>
        <sz val="9"/>
        <color theme="1"/>
        <rFont val="Verdana"/>
        <family val="2"/>
      </rPr>
      <t xml:space="preserve"> 10-m wind speed class.</t>
    </r>
  </si>
  <si>
    <r>
      <t>f</t>
    </r>
    <r>
      <rPr>
        <sz val="9"/>
        <color theme="1"/>
        <rFont val="Verdana"/>
        <family val="2"/>
      </rPr>
      <t xml:space="preserve">   = is the frequency of observations within the </t>
    </r>
    <r>
      <rPr>
        <i/>
        <sz val="9"/>
        <color theme="1"/>
        <rFont val="Verdana"/>
        <family val="2"/>
      </rPr>
      <t>u</t>
    </r>
    <r>
      <rPr>
        <i/>
        <vertAlign val="subscript"/>
        <sz val="9"/>
        <color theme="1"/>
        <rFont val="Verdana"/>
        <family val="2"/>
      </rPr>
      <t>i</t>
    </r>
    <r>
      <rPr>
        <sz val="9"/>
        <color theme="1"/>
        <rFont val="Verdana"/>
        <family val="2"/>
      </rPr>
      <t xml:space="preserve"> wind class over a month having </t>
    </r>
    <r>
      <rPr>
        <i/>
        <sz val="9"/>
        <color theme="1"/>
        <rFont val="Verdana"/>
        <family val="2"/>
      </rPr>
      <t>n</t>
    </r>
    <r>
      <rPr>
        <sz val="9"/>
        <color theme="1"/>
        <rFont val="Verdana"/>
        <family val="2"/>
      </rPr>
      <t xml:space="preserve"> days.</t>
    </r>
  </si>
  <si>
    <t>direction of greatest potential snow transport was calculated</t>
  </si>
  <si>
    <r>
      <rPr>
        <sz val="9"/>
        <color theme="1"/>
        <rFont val="Verdana"/>
        <family val="2"/>
      </rPr>
      <t xml:space="preserve">n  = a month having </t>
    </r>
    <r>
      <rPr>
        <i/>
        <sz val="9"/>
        <color theme="1"/>
        <rFont val="Verdana"/>
        <family val="2"/>
      </rPr>
      <t>n</t>
    </r>
    <r>
      <rPr>
        <sz val="9"/>
        <color theme="1"/>
        <rFont val="Verdana"/>
        <family val="2"/>
      </rPr>
      <t xml:space="preserve"> days.</t>
    </r>
  </si>
  <si>
    <t>Formula for Snow Fence Height</t>
  </si>
  <si>
    <r>
      <t>H = [Qt/(3+4P+44P</t>
    </r>
    <r>
      <rPr>
        <b/>
        <vertAlign val="superscript"/>
        <sz val="9"/>
        <color theme="1"/>
        <rFont val="Verdana"/>
        <family val="2"/>
      </rPr>
      <t>2</t>
    </r>
    <r>
      <rPr>
        <b/>
        <sz val="9"/>
        <color theme="1"/>
        <rFont val="Verdana"/>
        <family val="2"/>
      </rPr>
      <t>-60P</t>
    </r>
    <r>
      <rPr>
        <b/>
        <vertAlign val="superscript"/>
        <sz val="9"/>
        <color theme="1"/>
        <rFont val="Verdana"/>
        <family val="2"/>
      </rPr>
      <t>3</t>
    </r>
    <r>
      <rPr>
        <b/>
        <sz val="9"/>
        <color theme="1"/>
        <rFont val="Verdana"/>
        <family val="2"/>
      </rPr>
      <t>)]</t>
    </r>
    <r>
      <rPr>
        <b/>
        <vertAlign val="superscript"/>
        <sz val="9"/>
        <color theme="1"/>
        <rFont val="Verdana"/>
        <family val="2"/>
      </rPr>
      <t>0.455</t>
    </r>
  </si>
  <si>
    <t>P = porosity (decimal)</t>
  </si>
  <si>
    <t>H = Fence height (feet)</t>
  </si>
  <si>
    <t>Qt = snow transport (t/ft)</t>
  </si>
  <si>
    <t>F = Fetch Distance</t>
  </si>
  <si>
    <t>decimal</t>
  </si>
  <si>
    <t>degree</t>
  </si>
  <si>
    <r>
      <t>D = H (sin</t>
    </r>
    <r>
      <rPr>
        <b/>
        <i/>
        <sz val="9"/>
        <color theme="1"/>
        <rFont val="Symbol"/>
        <family val="1"/>
        <charset val="2"/>
      </rPr>
      <t>a</t>
    </r>
    <r>
      <rPr>
        <b/>
        <sz val="9"/>
        <color theme="1"/>
        <rFont val="Verdana"/>
        <family val="2"/>
      </rPr>
      <t>) (12 + 49P + 7P</t>
    </r>
    <r>
      <rPr>
        <b/>
        <vertAlign val="superscript"/>
        <sz val="9"/>
        <color theme="1"/>
        <rFont val="Verdana"/>
        <family val="2"/>
      </rPr>
      <t>2</t>
    </r>
    <r>
      <rPr>
        <b/>
        <sz val="9"/>
        <color theme="1"/>
        <rFont val="Verdana"/>
        <family val="2"/>
      </rPr>
      <t xml:space="preserve"> - 37P</t>
    </r>
    <r>
      <rPr>
        <b/>
        <vertAlign val="superscript"/>
        <sz val="9"/>
        <color theme="1"/>
        <rFont val="Verdana"/>
        <family val="2"/>
      </rPr>
      <t>3</t>
    </r>
    <r>
      <rPr>
        <b/>
        <sz val="9"/>
        <color theme="1"/>
        <rFont val="Verdana"/>
        <family val="2"/>
      </rPr>
      <t>)</t>
    </r>
  </si>
  <si>
    <t>Page 50</t>
  </si>
  <si>
    <r>
      <t>44P</t>
    </r>
    <r>
      <rPr>
        <b/>
        <vertAlign val="superscript"/>
        <sz val="9"/>
        <color theme="1"/>
        <rFont val="Verdana"/>
        <family val="2"/>
      </rPr>
      <t>2=</t>
    </r>
  </si>
  <si>
    <r>
      <t>P</t>
    </r>
    <r>
      <rPr>
        <b/>
        <vertAlign val="superscript"/>
        <sz val="9"/>
        <color theme="1"/>
        <rFont val="Verdana"/>
        <family val="2"/>
      </rPr>
      <t>3=</t>
    </r>
  </si>
  <si>
    <r>
      <t>60P</t>
    </r>
    <r>
      <rPr>
        <b/>
        <vertAlign val="superscript"/>
        <sz val="9"/>
        <color theme="1"/>
        <rFont val="Verdana"/>
        <family val="2"/>
      </rPr>
      <t>3=</t>
    </r>
  </si>
  <si>
    <r>
      <t>(3+4P+44P</t>
    </r>
    <r>
      <rPr>
        <b/>
        <vertAlign val="superscript"/>
        <sz val="9"/>
        <color theme="1"/>
        <rFont val="Verdana"/>
        <family val="2"/>
      </rPr>
      <t>2</t>
    </r>
    <r>
      <rPr>
        <b/>
        <sz val="9"/>
        <color theme="1"/>
        <rFont val="Verdana"/>
        <family val="2"/>
      </rPr>
      <t>-60P</t>
    </r>
    <r>
      <rPr>
        <b/>
        <vertAlign val="superscript"/>
        <sz val="9"/>
        <color theme="1"/>
        <rFont val="Verdana"/>
        <family val="2"/>
      </rPr>
      <t>3</t>
    </r>
    <r>
      <rPr>
        <b/>
        <sz val="9"/>
        <color theme="1"/>
        <rFont val="Verdana"/>
        <family val="2"/>
      </rPr>
      <t>)=</t>
    </r>
  </si>
  <si>
    <r>
      <t>[Qt/(3+4P+44P</t>
    </r>
    <r>
      <rPr>
        <b/>
        <vertAlign val="superscript"/>
        <sz val="9"/>
        <color theme="1"/>
        <rFont val="Verdana"/>
        <family val="2"/>
      </rPr>
      <t>2</t>
    </r>
    <r>
      <rPr>
        <b/>
        <sz val="9"/>
        <color theme="1"/>
        <rFont val="Verdana"/>
        <family val="2"/>
      </rPr>
      <t>-60P</t>
    </r>
    <r>
      <rPr>
        <b/>
        <vertAlign val="superscript"/>
        <sz val="9"/>
        <color theme="1"/>
        <rFont val="Verdana"/>
        <family val="2"/>
      </rPr>
      <t>3</t>
    </r>
    <r>
      <rPr>
        <b/>
        <sz val="9"/>
        <color theme="1"/>
        <rFont val="Verdana"/>
        <family val="2"/>
      </rPr>
      <t>)]=</t>
    </r>
  </si>
  <si>
    <r>
      <t>[Qt/(3+4P+44P</t>
    </r>
    <r>
      <rPr>
        <b/>
        <vertAlign val="superscript"/>
        <sz val="9"/>
        <color theme="1"/>
        <rFont val="Verdana"/>
        <family val="2"/>
      </rPr>
      <t>2</t>
    </r>
    <r>
      <rPr>
        <b/>
        <sz val="9"/>
        <color theme="1"/>
        <rFont val="Verdana"/>
        <family val="2"/>
      </rPr>
      <t>-60P</t>
    </r>
    <r>
      <rPr>
        <b/>
        <vertAlign val="superscript"/>
        <sz val="9"/>
        <color theme="1"/>
        <rFont val="Verdana"/>
        <family val="2"/>
      </rPr>
      <t>3</t>
    </r>
    <r>
      <rPr>
        <b/>
        <sz val="9"/>
        <color theme="1"/>
        <rFont val="Verdana"/>
        <family val="2"/>
      </rPr>
      <t>)]</t>
    </r>
    <r>
      <rPr>
        <b/>
        <vertAlign val="superscript"/>
        <sz val="9"/>
        <color theme="1"/>
        <rFont val="Verdana"/>
        <family val="2"/>
      </rPr>
      <t>0.455=</t>
    </r>
  </si>
  <si>
    <t>(3+4P) =</t>
  </si>
  <si>
    <r>
      <t>P</t>
    </r>
    <r>
      <rPr>
        <b/>
        <vertAlign val="superscript"/>
        <sz val="9"/>
        <color theme="1"/>
        <rFont val="Verdana"/>
        <family val="2"/>
      </rPr>
      <t>2 =</t>
    </r>
  </si>
  <si>
    <t>MnDOT Data</t>
  </si>
  <si>
    <t>Project Location</t>
  </si>
  <si>
    <t>Lane width</t>
  </si>
  <si>
    <t>Shoulder width</t>
  </si>
  <si>
    <t>Shoulder PI width</t>
  </si>
  <si>
    <t>U of M signal Fence Data</t>
  </si>
  <si>
    <t>A.)</t>
  </si>
  <si>
    <t>1.) What is the U of M's recommendated setback for a "Single Parallel Fence Placement" from Shoulder PI?</t>
  </si>
  <si>
    <t>B.)</t>
  </si>
  <si>
    <t>C.)</t>
  </si>
  <si>
    <t xml:space="preserve">1.) 1st row of Fencing (Living snow fence) setback is set by the chart at right.  </t>
  </si>
  <si>
    <t>2.) Setback starts at Should PI.</t>
  </si>
  <si>
    <t>3.) What is the 1st row setback by slope from chart?</t>
  </si>
  <si>
    <t>4.) What is the Maximum Height of Plant?</t>
  </si>
  <si>
    <t>A.)  Enter the data from the U of M's Analysis of Snow Climatology Web Site</t>
  </si>
  <si>
    <t>At a Height of</t>
  </si>
  <si>
    <t>Analysis of Snow Climatolory</t>
  </si>
  <si>
    <t>B.) Multiple fences</t>
  </si>
  <si>
    <t>C.) Reducing the setback distance of U of M recommendation by Snow Control Ditch Grading Ditch:</t>
  </si>
  <si>
    <t>1.) The height of the Mature Plant or Structural Fence is.</t>
  </si>
  <si>
    <t>2.) The distance between rows form chart is.</t>
  </si>
  <si>
    <t>1.) Orgininal Final Row Distance between last and final row is.</t>
  </si>
  <si>
    <t>2.) Right-of-Way need is first row + each row + final row + 2 feet is.</t>
  </si>
  <si>
    <t>1.) Precentage of final row length.</t>
  </si>
  <si>
    <t>2.) Final Snow Fence Length between last and final row is.</t>
  </si>
  <si>
    <t>3.) Right-of-Way need is first row + each row + final row + 2 feet is.</t>
  </si>
  <si>
    <t>1.) Reduced Final Snow Fence Length between last and final row is.</t>
  </si>
  <si>
    <t xml:space="preserve">Reducing Right-of-way further by Over-Designing Fence Height. </t>
  </si>
  <si>
    <t>Same for both living snow fence and structural snow fence</t>
  </si>
  <si>
    <t>Design enhancements to the Uof M Recommendation</t>
  </si>
  <si>
    <t>DISTANCE BETWEEN CONSECUTIVE ROWS, BUT NOT BETWEEN THE SECOND TO LAST ROW AND THE FINAL ROW</t>
  </si>
  <si>
    <t>2.) How many rows are needed?</t>
  </si>
  <si>
    <t>What is the ditch bottom width?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</si>
</sst>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8"/>
      <name val="Calibri"/>
      <family val="2"/>
      <scheme val="minor"/>
    </font>
    <font>
      <b/>
      <sz val="14"/>
      <name val="Calibri"/>
      <family val="2"/>
      <scheme val="minor"/>
    </font>
    <font>
      <b/>
      <sz val="12"/>
      <name val="Calibri"/>
      <family val="2"/>
      <scheme val="minor"/>
    </font>
    <font>
      <sz val="9"/>
      <name val="Calibri"/>
      <family val="2"/>
      <scheme val="minor"/>
    </font>
    <font>
      <sz val="9"/>
      <color theme="1"/>
      <name val="Verdana"/>
      <family val="2"/>
    </font>
    <font>
      <b/>
      <sz val="9"/>
      <color theme="1"/>
      <name val="Verdana"/>
      <family val="2"/>
    </font>
    <font>
      <vertAlign val="subscript"/>
      <sz val="9"/>
      <color theme="1"/>
      <name val="Verdana"/>
      <family val="2"/>
    </font>
    <font>
      <i/>
      <sz val="9"/>
      <color theme="1"/>
      <name val="Verdana"/>
      <family val="2"/>
    </font>
    <font>
      <sz val="14"/>
      <color rgb="FF333399"/>
      <name val="Verdana"/>
      <family val="2"/>
    </font>
    <font>
      <b/>
      <vertAlign val="subscript"/>
      <sz val="9"/>
      <color theme="1"/>
      <name val="Verdana"/>
      <family val="2"/>
    </font>
    <font>
      <b/>
      <vertAlign val="superscript"/>
      <sz val="9"/>
      <color theme="1"/>
      <name val="Verdana"/>
      <family val="2"/>
    </font>
    <font>
      <i/>
      <vertAlign val="subscript"/>
      <sz val="9"/>
      <color theme="1"/>
      <name val="Verdana"/>
      <family val="2"/>
    </font>
    <font>
      <vertAlign val="superscript"/>
      <sz val="9"/>
      <color theme="1"/>
      <name val="Verdana"/>
      <family val="2"/>
    </font>
    <font>
      <b/>
      <i/>
      <sz val="9"/>
      <color theme="1"/>
      <name val="Symbol"/>
      <family val="1"/>
      <charset val="2"/>
    </font>
    <font>
      <sz val="14"/>
      <color rgb="FF0070C0"/>
      <name val="Verdana"/>
      <family val="2"/>
    </font>
    <font>
      <b/>
      <sz val="10"/>
      <name val="Calibri"/>
      <family val="2"/>
      <scheme val="minor"/>
    </font>
    <font>
      <b/>
      <sz val="7"/>
      <name val="Calibri"/>
      <family val="2"/>
      <scheme val="minor"/>
    </font>
    <font>
      <b/>
      <sz val="9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79">
    <border>
      <left/>
      <right/>
      <top/>
      <bottom/>
      <diagonal/>
    </border>
    <border>
      <left style="thick">
        <color auto="1"/>
      </left>
      <right style="medium">
        <color auto="1"/>
      </right>
      <top style="thick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ck">
        <color auto="1"/>
      </top>
      <bottom style="medium">
        <color auto="1"/>
      </bottom>
      <diagonal/>
    </border>
    <border>
      <left style="medium">
        <color auto="1"/>
      </left>
      <right style="thick">
        <color auto="1"/>
      </right>
      <top style="thick">
        <color auto="1"/>
      </top>
      <bottom style="medium">
        <color auto="1"/>
      </bottom>
      <diagonal/>
    </border>
    <border>
      <left style="thick">
        <color auto="1"/>
      </left>
      <right style="medium">
        <color auto="1"/>
      </right>
      <top style="medium">
        <color auto="1"/>
      </top>
      <bottom style="thick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ck">
        <color auto="1"/>
      </bottom>
      <diagonal/>
    </border>
    <border>
      <left style="medium">
        <color auto="1"/>
      </left>
      <right style="thick">
        <color auto="1"/>
      </right>
      <top style="medium">
        <color auto="1"/>
      </top>
      <bottom style="thick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ck">
        <color auto="1"/>
      </top>
      <bottom style="thick">
        <color auto="1"/>
      </bottom>
      <diagonal/>
    </border>
    <border>
      <left style="thick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ck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ck">
        <color auto="1"/>
      </right>
      <top style="medium">
        <color auto="1"/>
      </top>
      <bottom style="medium">
        <color auto="1"/>
      </bottom>
      <diagonal/>
    </border>
    <border>
      <left/>
      <right style="thick">
        <color auto="1"/>
      </right>
      <top style="thick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ck">
        <color auto="1"/>
      </bottom>
      <diagonal/>
    </border>
    <border>
      <left/>
      <right style="thick">
        <color auto="1"/>
      </right>
      <top style="medium">
        <color auto="1"/>
      </top>
      <bottom style="thick">
        <color auto="1"/>
      </bottom>
      <diagonal/>
    </border>
    <border>
      <left style="thick">
        <color auto="1"/>
      </left>
      <right style="medium">
        <color auto="1"/>
      </right>
      <top style="thick">
        <color auto="1"/>
      </top>
      <bottom style="thick">
        <color auto="1"/>
      </bottom>
      <diagonal/>
    </border>
    <border>
      <left style="medium">
        <color auto="1"/>
      </left>
      <right style="medium">
        <color auto="1"/>
      </right>
      <top style="thick">
        <color auto="1"/>
      </top>
      <bottom style="thick">
        <color auto="1"/>
      </bottom>
      <diagonal/>
    </border>
    <border>
      <left style="medium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  <border>
      <left style="thick">
        <color auto="1"/>
      </left>
      <right/>
      <top style="thick">
        <color auto="1"/>
      </top>
      <bottom style="thick">
        <color auto="1"/>
      </bottom>
      <diagonal/>
    </border>
    <border>
      <left/>
      <right style="thick">
        <color auto="1"/>
      </right>
      <top style="thick">
        <color auto="1"/>
      </top>
      <bottom style="thick">
        <color auto="1"/>
      </bottom>
      <diagonal/>
    </border>
    <border>
      <left/>
      <right style="thick">
        <color auto="1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ck">
        <color auto="1"/>
      </top>
      <bottom/>
      <diagonal/>
    </border>
    <border>
      <left/>
      <right/>
      <top style="thin">
        <color auto="1"/>
      </top>
      <bottom/>
      <diagonal/>
    </border>
    <border>
      <left style="thick">
        <color auto="1"/>
      </left>
      <right/>
      <top/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thick">
        <color auto="1"/>
      </top>
      <bottom style="thick">
        <color auto="1"/>
      </bottom>
      <diagonal/>
    </border>
    <border>
      <left style="thick">
        <color auto="1"/>
      </left>
      <right/>
      <top/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 style="thick">
        <color auto="1"/>
      </left>
      <right/>
      <top style="thick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  <border>
      <left style="thick">
        <color auto="1"/>
      </left>
      <right/>
      <top style="medium">
        <color auto="1"/>
      </top>
      <bottom style="thick">
        <color auto="1"/>
      </bottom>
      <diagonal/>
    </border>
    <border>
      <left/>
      <right/>
      <top style="medium">
        <color auto="1"/>
      </top>
      <bottom style="thick">
        <color auto="1"/>
      </bottom>
      <diagonal/>
    </border>
    <border>
      <left/>
      <right style="thick">
        <color auto="1"/>
      </right>
      <top style="thick">
        <color auto="1"/>
      </top>
      <bottom/>
      <diagonal/>
    </border>
    <border>
      <left style="thick">
        <color auto="1"/>
      </left>
      <right style="medium">
        <color auto="1"/>
      </right>
      <top style="thick">
        <color auto="1"/>
      </top>
      <bottom/>
      <diagonal/>
    </border>
    <border>
      <left style="thick">
        <color auto="1"/>
      </left>
      <right style="medium">
        <color auto="1"/>
      </right>
      <top/>
      <bottom/>
      <diagonal/>
    </border>
    <border>
      <left style="thick">
        <color auto="1"/>
      </left>
      <right style="medium">
        <color auto="1"/>
      </right>
      <top/>
      <bottom style="thick">
        <color auto="1"/>
      </bottom>
      <diagonal/>
    </border>
    <border>
      <left/>
      <right style="thick">
        <color auto="1"/>
      </right>
      <top/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thick">
        <color auto="1"/>
      </right>
      <top style="thin">
        <color auto="1"/>
      </top>
      <bottom/>
      <diagonal/>
    </border>
    <border>
      <left/>
      <right/>
      <top style="thick">
        <color auto="1"/>
      </top>
      <bottom style="thin">
        <color auto="1"/>
      </bottom>
      <diagonal/>
    </border>
    <border>
      <left style="medium">
        <color auto="1"/>
      </left>
      <right style="thick">
        <color auto="1"/>
      </right>
      <top/>
      <bottom/>
      <diagonal/>
    </border>
    <border>
      <left/>
      <right style="medium">
        <color auto="1"/>
      </right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ck">
        <color auto="1"/>
      </left>
      <right style="medium">
        <color auto="1"/>
      </right>
      <top/>
      <bottom style="thin">
        <color indexed="64"/>
      </bottom>
      <diagonal/>
    </border>
    <border>
      <left style="medium">
        <color auto="1"/>
      </left>
      <right/>
      <top/>
      <bottom/>
      <diagonal/>
    </border>
    <border>
      <left style="thick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07">
    <xf numFmtId="0" fontId="0" fillId="0" borderId="0" xfId="0"/>
    <xf numFmtId="0" fontId="0" fillId="0" borderId="0" xfId="0" applyAlignment="1">
      <alignment wrapText="1"/>
    </xf>
    <xf numFmtId="2" fontId="0" fillId="0" borderId="0" xfId="0" applyNumberFormat="1"/>
    <xf numFmtId="0" fontId="0" fillId="0" borderId="0" xfId="0" applyFill="1" applyBorder="1"/>
    <xf numFmtId="0" fontId="0" fillId="0" borderId="0" xfId="0" applyFill="1" applyBorder="1" applyAlignment="1">
      <alignment wrapText="1"/>
    </xf>
    <xf numFmtId="0" fontId="0" fillId="0" borderId="0" xfId="0" applyAlignment="1">
      <alignment horizontal="right" vertical="center"/>
    </xf>
    <xf numFmtId="0" fontId="0" fillId="4" borderId="1" xfId="0" applyFill="1" applyBorder="1" applyAlignment="1">
      <alignment horizontal="center" vertical="center" wrapText="1"/>
    </xf>
    <xf numFmtId="0" fontId="0" fillId="4" borderId="2" xfId="0" applyFill="1" applyBorder="1" applyAlignment="1">
      <alignment horizontal="center" vertical="center" wrapText="1"/>
    </xf>
    <xf numFmtId="0" fontId="0" fillId="3" borderId="5" xfId="0" applyFill="1" applyBorder="1" applyAlignment="1">
      <alignment horizontal="center" vertical="center"/>
    </xf>
    <xf numFmtId="0" fontId="0" fillId="0" borderId="17" xfId="0" applyBorder="1"/>
    <xf numFmtId="0" fontId="0" fillId="4" borderId="3" xfId="0" applyFill="1" applyBorder="1" applyAlignment="1">
      <alignment horizontal="center" vertical="center" wrapText="1"/>
    </xf>
    <xf numFmtId="2" fontId="2" fillId="3" borderId="4" xfId="0" applyNumberFormat="1" applyFont="1" applyFill="1" applyBorder="1" applyAlignment="1">
      <alignment horizontal="center" vertical="center"/>
    </xf>
    <xf numFmtId="0" fontId="0" fillId="3" borderId="5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0" borderId="0" xfId="0" applyBorder="1"/>
    <xf numFmtId="0" fontId="0" fillId="3" borderId="22" xfId="0" applyFill="1" applyBorder="1"/>
    <xf numFmtId="0" fontId="0" fillId="3" borderId="23" xfId="0" applyFill="1" applyBorder="1"/>
    <xf numFmtId="0" fontId="0" fillId="3" borderId="21" xfId="0" applyFill="1" applyBorder="1"/>
    <xf numFmtId="0" fontId="0" fillId="3" borderId="24" xfId="0" applyFill="1" applyBorder="1" applyAlignment="1">
      <alignment horizontal="right" vertical="center"/>
    </xf>
    <xf numFmtId="0" fontId="0" fillId="3" borderId="25" xfId="0" applyFill="1" applyBorder="1" applyAlignment="1">
      <alignment horizontal="left" vertical="center"/>
    </xf>
    <xf numFmtId="0" fontId="0" fillId="5" borderId="26" xfId="0" applyFill="1" applyBorder="1"/>
    <xf numFmtId="0" fontId="0" fillId="5" borderId="28" xfId="0" applyFill="1" applyBorder="1"/>
    <xf numFmtId="1" fontId="1" fillId="3" borderId="29" xfId="0" applyNumberFormat="1" applyFont="1" applyFill="1" applyBorder="1" applyAlignment="1">
      <alignment horizontal="center" vertical="center"/>
    </xf>
    <xf numFmtId="0" fontId="0" fillId="6" borderId="0" xfId="0" applyFill="1"/>
    <xf numFmtId="0" fontId="0" fillId="6" borderId="0" xfId="0" applyFill="1" applyAlignment="1">
      <alignment horizontal="right" vertical="center"/>
    </xf>
    <xf numFmtId="0" fontId="0" fillId="6" borderId="0" xfId="0" applyFill="1" applyAlignment="1">
      <alignment horizontal="right"/>
    </xf>
    <xf numFmtId="0" fontId="0" fillId="6" borderId="0" xfId="0" applyFill="1" applyAlignment="1">
      <alignment horizontal="left"/>
    </xf>
    <xf numFmtId="0" fontId="0" fillId="6" borderId="0" xfId="0" applyFill="1" applyAlignment="1">
      <alignment horizontal="center" vertical="center"/>
    </xf>
    <xf numFmtId="2" fontId="0" fillId="6" borderId="0" xfId="0" applyNumberFormat="1" applyFill="1"/>
    <xf numFmtId="16" fontId="0" fillId="6" borderId="0" xfId="0" applyNumberFormat="1" applyFill="1"/>
    <xf numFmtId="0" fontId="0" fillId="4" borderId="0" xfId="0" applyFont="1" applyFill="1" applyAlignment="1">
      <alignment horizontal="center" vertical="center"/>
    </xf>
    <xf numFmtId="1" fontId="1" fillId="0" borderId="0" xfId="0" applyNumberFormat="1" applyFont="1" applyFill="1" applyBorder="1" applyAlignment="1">
      <alignment horizontal="center" vertical="center"/>
    </xf>
    <xf numFmtId="0" fontId="2" fillId="4" borderId="17" xfId="0" applyFont="1" applyFill="1" applyBorder="1"/>
    <xf numFmtId="1" fontId="3" fillId="3" borderId="29" xfId="0" applyNumberFormat="1" applyFont="1" applyFill="1" applyBorder="1" applyAlignment="1">
      <alignment vertical="center"/>
    </xf>
    <xf numFmtId="0" fontId="2" fillId="4" borderId="32" xfId="0" applyFont="1" applyFill="1" applyBorder="1"/>
    <xf numFmtId="1" fontId="2" fillId="4" borderId="12" xfId="0" applyNumberFormat="1" applyFont="1" applyFill="1" applyBorder="1"/>
    <xf numFmtId="1" fontId="2" fillId="4" borderId="13" xfId="0" applyNumberFormat="1" applyFont="1" applyFill="1" applyBorder="1"/>
    <xf numFmtId="1" fontId="2" fillId="4" borderId="15" xfId="0" applyNumberFormat="1" applyFont="1" applyFill="1" applyBorder="1"/>
    <xf numFmtId="1" fontId="2" fillId="4" borderId="16" xfId="0" applyNumberFormat="1" applyFont="1" applyFill="1" applyBorder="1"/>
    <xf numFmtId="1" fontId="2" fillId="4" borderId="41" xfId="0" applyNumberFormat="1" applyFont="1" applyFill="1" applyBorder="1"/>
    <xf numFmtId="1" fontId="2" fillId="4" borderId="42" xfId="0" applyNumberFormat="1" applyFont="1" applyFill="1" applyBorder="1"/>
    <xf numFmtId="1" fontId="2" fillId="4" borderId="43" xfId="0" applyNumberFormat="1" applyFont="1" applyFill="1" applyBorder="1"/>
    <xf numFmtId="0" fontId="2" fillId="4" borderId="31" xfId="0" applyFont="1" applyFill="1" applyBorder="1" applyAlignment="1">
      <alignment horizontal="center" vertical="center"/>
    </xf>
    <xf numFmtId="1" fontId="3" fillId="3" borderId="29" xfId="0" applyNumberFormat="1" applyFont="1" applyFill="1" applyBorder="1" applyAlignment="1">
      <alignment horizontal="center" vertical="center"/>
    </xf>
    <xf numFmtId="0" fontId="3" fillId="4" borderId="35" xfId="0" applyFont="1" applyFill="1" applyBorder="1"/>
    <xf numFmtId="0" fontId="3" fillId="4" borderId="0" xfId="0" applyFont="1" applyFill="1" applyBorder="1"/>
    <xf numFmtId="0" fontId="2" fillId="4" borderId="0" xfId="0" applyFont="1" applyFill="1" applyBorder="1"/>
    <xf numFmtId="0" fontId="2" fillId="4" borderId="31" xfId="0" applyFont="1" applyFill="1" applyBorder="1"/>
    <xf numFmtId="0" fontId="6" fillId="4" borderId="0" xfId="0" applyFont="1" applyFill="1" applyBorder="1"/>
    <xf numFmtId="0" fontId="5" fillId="4" borderId="29" xfId="0" applyFont="1" applyFill="1" applyBorder="1" applyAlignment="1">
      <alignment vertical="center" textRotation="90"/>
    </xf>
    <xf numFmtId="0" fontId="2" fillId="4" borderId="30" xfId="0" applyFont="1" applyFill="1" applyBorder="1"/>
    <xf numFmtId="0" fontId="2" fillId="4" borderId="0" xfId="0" applyFont="1" applyFill="1" applyBorder="1" applyAlignment="1">
      <alignment horizontal="center" vertical="center"/>
    </xf>
    <xf numFmtId="0" fontId="2" fillId="4" borderId="51" xfId="0" applyFont="1" applyFill="1" applyBorder="1"/>
    <xf numFmtId="0" fontId="3" fillId="4" borderId="0" xfId="0" applyFont="1" applyFill="1" applyBorder="1" applyAlignment="1">
      <alignment vertical="center" wrapText="1"/>
    </xf>
    <xf numFmtId="0" fontId="2" fillId="4" borderId="39" xfId="0" applyFont="1" applyFill="1" applyBorder="1"/>
    <xf numFmtId="1" fontId="2" fillId="4" borderId="39" xfId="0" applyNumberFormat="1" applyFont="1" applyFill="1" applyBorder="1"/>
    <xf numFmtId="0" fontId="2" fillId="4" borderId="44" xfId="0" applyFont="1" applyFill="1" applyBorder="1"/>
    <xf numFmtId="0" fontId="3" fillId="3" borderId="29" xfId="0" applyFont="1" applyFill="1" applyBorder="1" applyAlignment="1">
      <alignment horizontal="center" vertical="center"/>
    </xf>
    <xf numFmtId="0" fontId="2" fillId="4" borderId="0" xfId="0" applyFont="1" applyFill="1" applyBorder="1" applyAlignment="1">
      <alignment horizontal="right"/>
    </xf>
    <xf numFmtId="0" fontId="3" fillId="4" borderId="0" xfId="0" applyFont="1" applyFill="1" applyBorder="1" applyAlignment="1">
      <alignment horizontal="left"/>
    </xf>
    <xf numFmtId="0" fontId="6" fillId="4" borderId="0" xfId="0" applyFont="1" applyFill="1" applyBorder="1" applyAlignment="1">
      <alignment horizontal="left" vertical="center" wrapText="1"/>
    </xf>
    <xf numFmtId="1" fontId="0" fillId="7" borderId="4" xfId="0" applyNumberFormat="1" applyFill="1" applyBorder="1" applyAlignment="1">
      <alignment horizontal="center"/>
    </xf>
    <xf numFmtId="0" fontId="0" fillId="0" borderId="0" xfId="0" applyAlignment="1">
      <alignment horizontal="center" vertical="center"/>
    </xf>
    <xf numFmtId="0" fontId="0" fillId="7" borderId="0" xfId="0" applyFill="1"/>
    <xf numFmtId="0" fontId="0" fillId="4" borderId="0" xfId="0" applyFill="1"/>
    <xf numFmtId="0" fontId="0" fillId="6" borderId="0" xfId="0" quotePrefix="1" applyFill="1" applyAlignment="1">
      <alignment horizontal="center" vertical="center"/>
    </xf>
    <xf numFmtId="1" fontId="0" fillId="6" borderId="0" xfId="0" applyNumberFormat="1" applyFill="1"/>
    <xf numFmtId="0" fontId="0" fillId="3" borderId="7" xfId="0" applyFill="1" applyBorder="1" applyAlignment="1">
      <alignment horizontal="center"/>
    </xf>
    <xf numFmtId="0" fontId="0" fillId="4" borderId="7" xfId="0" applyFill="1" applyBorder="1" applyAlignment="1">
      <alignment horizontal="center" vertical="center" wrapText="1"/>
    </xf>
    <xf numFmtId="2" fontId="0" fillId="3" borderId="7" xfId="0" applyNumberFormat="1" applyFill="1" applyBorder="1" applyAlignment="1">
      <alignment horizontal="center" vertical="center"/>
    </xf>
    <xf numFmtId="2" fontId="0" fillId="7" borderId="6" xfId="0" applyNumberFormat="1" applyFill="1" applyBorder="1" applyAlignment="1">
      <alignment horizontal="center" vertical="center"/>
    </xf>
    <xf numFmtId="1" fontId="0" fillId="7" borderId="27" xfId="0" applyNumberFormat="1" applyFill="1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2" fillId="0" borderId="0" xfId="0" applyFont="1" applyFill="1" applyBorder="1" applyAlignment="1"/>
    <xf numFmtId="0" fontId="2" fillId="0" borderId="0" xfId="0" applyFont="1" applyFill="1" applyBorder="1" applyAlignment="1">
      <alignment horizontal="center" vertical="top" wrapText="1"/>
    </xf>
    <xf numFmtId="0" fontId="12" fillId="6" borderId="0" xfId="0" applyFont="1" applyFill="1" applyAlignment="1">
      <alignment vertical="center"/>
    </xf>
    <xf numFmtId="0" fontId="9" fillId="6" borderId="0" xfId="0" applyFont="1" applyFill="1" applyAlignment="1">
      <alignment vertical="center" wrapText="1"/>
    </xf>
    <xf numFmtId="0" fontId="0" fillId="6" borderId="0" xfId="0" applyFill="1" applyAlignment="1">
      <alignment horizontal="left" vertical="center" wrapText="1" indent="1"/>
    </xf>
    <xf numFmtId="0" fontId="2" fillId="6" borderId="0" xfId="0" applyFont="1" applyFill="1" applyBorder="1" applyAlignment="1">
      <alignment horizontal="center" vertical="top" wrapText="1"/>
    </xf>
    <xf numFmtId="0" fontId="8" fillId="4" borderId="0" xfId="0" applyFont="1" applyFill="1" applyAlignment="1">
      <alignment horizontal="right" vertical="center" wrapText="1" indent="1"/>
    </xf>
    <xf numFmtId="0" fontId="0" fillId="3" borderId="0" xfId="0" applyFill="1" applyAlignment="1">
      <alignment horizontal="center" vertical="center"/>
    </xf>
    <xf numFmtId="2" fontId="0" fillId="3" borderId="0" xfId="0" applyNumberFormat="1" applyFill="1" applyAlignment="1">
      <alignment horizontal="center"/>
    </xf>
    <xf numFmtId="1" fontId="0" fillId="3" borderId="0" xfId="0" applyNumberFormat="1" applyFill="1" applyAlignment="1">
      <alignment horizontal="center"/>
    </xf>
    <xf numFmtId="0" fontId="8" fillId="5" borderId="0" xfId="0" applyFont="1" applyFill="1" applyAlignment="1">
      <alignment horizontal="right" vertical="center" wrapText="1" indent="1"/>
    </xf>
    <xf numFmtId="164" fontId="0" fillId="3" borderId="0" xfId="0" applyNumberFormat="1" applyFill="1" applyAlignment="1">
      <alignment horizontal="center"/>
    </xf>
    <xf numFmtId="2" fontId="8" fillId="0" borderId="0" xfId="0" applyNumberFormat="1" applyFont="1" applyAlignment="1">
      <alignment vertical="center" wrapText="1"/>
    </xf>
    <xf numFmtId="0" fontId="8" fillId="6" borderId="0" xfId="0" applyFont="1" applyFill="1" applyAlignment="1">
      <alignment vertical="center" wrapText="1"/>
    </xf>
    <xf numFmtId="2" fontId="8" fillId="7" borderId="0" xfId="0" applyNumberFormat="1" applyFont="1" applyFill="1" applyAlignment="1">
      <alignment vertical="center" wrapText="1"/>
    </xf>
    <xf numFmtId="2" fontId="8" fillId="3" borderId="0" xfId="0" applyNumberFormat="1" applyFont="1" applyFill="1" applyAlignment="1">
      <alignment vertical="center" wrapText="1"/>
    </xf>
    <xf numFmtId="1" fontId="3" fillId="0" borderId="0" xfId="0" applyNumberFormat="1" applyFont="1" applyFill="1" applyBorder="1" applyAlignment="1">
      <alignment horizontal="center" vertical="center"/>
    </xf>
    <xf numFmtId="2" fontId="0" fillId="3" borderId="23" xfId="0" applyNumberFormat="1" applyFill="1" applyBorder="1" applyAlignment="1">
      <alignment horizontal="center" vertical="center"/>
    </xf>
    <xf numFmtId="0" fontId="0" fillId="4" borderId="52" xfId="0" applyFill="1" applyBorder="1" applyAlignment="1">
      <alignment horizontal="center" vertical="center" wrapText="1"/>
    </xf>
    <xf numFmtId="1" fontId="3" fillId="7" borderId="7" xfId="0" applyNumberFormat="1" applyFont="1" applyFill="1" applyBorder="1" applyAlignment="1">
      <alignment horizontal="center" vertical="center"/>
    </xf>
    <xf numFmtId="1" fontId="3" fillId="3" borderId="40" xfId="0" applyNumberFormat="1" applyFont="1" applyFill="1" applyBorder="1" applyAlignment="1">
      <alignment horizontal="right" vertical="center"/>
    </xf>
    <xf numFmtId="0" fontId="2" fillId="4" borderId="53" xfId="0" applyFont="1" applyFill="1" applyBorder="1"/>
    <xf numFmtId="0" fontId="3" fillId="4" borderId="0" xfId="0" applyFont="1" applyFill="1" applyBorder="1" applyAlignment="1">
      <alignment horizontal="center" vertical="center"/>
    </xf>
    <xf numFmtId="1" fontId="3" fillId="4" borderId="54" xfId="0" applyNumberFormat="1" applyFont="1" applyFill="1" applyBorder="1" applyAlignment="1">
      <alignment horizontal="right" vertical="center"/>
    </xf>
    <xf numFmtId="0" fontId="3" fillId="4" borderId="54" xfId="0" applyFont="1" applyFill="1" applyBorder="1" applyAlignment="1">
      <alignment horizontal="center" vertical="center"/>
    </xf>
    <xf numFmtId="0" fontId="2" fillId="4" borderId="55" xfId="0" applyFont="1" applyFill="1" applyBorder="1"/>
    <xf numFmtId="0" fontId="3" fillId="4" borderId="32" xfId="0" applyFont="1" applyFill="1" applyBorder="1" applyAlignment="1">
      <alignment horizontal="left"/>
    </xf>
    <xf numFmtId="0" fontId="2" fillId="4" borderId="32" xfId="0" applyFont="1" applyFill="1" applyBorder="1" applyAlignment="1">
      <alignment horizontal="center" vertical="center"/>
    </xf>
    <xf numFmtId="0" fontId="3" fillId="4" borderId="32" xfId="0" applyFont="1" applyFill="1" applyBorder="1" applyAlignment="1">
      <alignment horizontal="center" vertical="center"/>
    </xf>
    <xf numFmtId="0" fontId="7" fillId="4" borderId="32" xfId="0" applyFont="1" applyFill="1" applyBorder="1" applyAlignment="1">
      <alignment horizontal="center"/>
    </xf>
    <xf numFmtId="0" fontId="0" fillId="4" borderId="0" xfId="0" applyFill="1" applyBorder="1"/>
    <xf numFmtId="0" fontId="3" fillId="4" borderId="32" xfId="0" applyFont="1" applyFill="1" applyBorder="1"/>
    <xf numFmtId="1" fontId="1" fillId="4" borderId="32" xfId="0" applyNumberFormat="1" applyFont="1" applyFill="1" applyBorder="1" applyAlignment="1">
      <alignment horizontal="center" vertical="center"/>
    </xf>
    <xf numFmtId="1" fontId="3" fillId="4" borderId="0" xfId="0" applyNumberFormat="1" applyFont="1" applyFill="1" applyBorder="1" applyAlignment="1">
      <alignment horizontal="center" vertical="center"/>
    </xf>
    <xf numFmtId="0" fontId="2" fillId="4" borderId="34" xfId="0" applyFont="1" applyFill="1" applyBorder="1"/>
    <xf numFmtId="1" fontId="3" fillId="4" borderId="32" xfId="0" applyNumberFormat="1" applyFont="1" applyFill="1" applyBorder="1" applyAlignment="1">
      <alignment horizontal="center" vertical="center"/>
    </xf>
    <xf numFmtId="0" fontId="3" fillId="4" borderId="0" xfId="0" applyFont="1" applyFill="1" applyBorder="1" applyAlignment="1"/>
    <xf numFmtId="0" fontId="0" fillId="4" borderId="0" xfId="0" applyFill="1" applyBorder="1" applyAlignment="1">
      <alignment horizontal="right"/>
    </xf>
    <xf numFmtId="0" fontId="0" fillId="4" borderId="0" xfId="0" applyFont="1" applyFill="1" applyBorder="1" applyAlignment="1"/>
    <xf numFmtId="0" fontId="0" fillId="4" borderId="0" xfId="0" applyFont="1" applyFill="1" applyBorder="1" applyAlignment="1">
      <alignment horizontal="center" vertical="center"/>
    </xf>
    <xf numFmtId="0" fontId="2" fillId="4" borderId="0" xfId="0" applyFont="1" applyFill="1" applyBorder="1" applyAlignment="1"/>
    <xf numFmtId="0" fontId="3" fillId="4" borderId="32" xfId="0" applyFont="1" applyFill="1" applyBorder="1" applyAlignment="1">
      <alignment horizontal="left" vertical="center" wrapText="1"/>
    </xf>
    <xf numFmtId="0" fontId="2" fillId="4" borderId="0" xfId="0" applyFont="1" applyFill="1" applyBorder="1" applyAlignment="1">
      <alignment horizontal="left" vertical="top"/>
    </xf>
    <xf numFmtId="1" fontId="2" fillId="4" borderId="0" xfId="0" applyNumberFormat="1" applyFont="1" applyFill="1" applyBorder="1"/>
    <xf numFmtId="1" fontId="2" fillId="4" borderId="57" xfId="0" applyNumberFormat="1" applyFont="1" applyFill="1" applyBorder="1"/>
    <xf numFmtId="0" fontId="3" fillId="3" borderId="45" xfId="0" applyFont="1" applyFill="1" applyBorder="1" applyAlignment="1">
      <alignment horizontal="center" vertical="center"/>
    </xf>
    <xf numFmtId="0" fontId="9" fillId="6" borderId="0" xfId="0" applyFont="1" applyFill="1" applyAlignment="1"/>
    <xf numFmtId="0" fontId="8" fillId="6" borderId="0" xfId="0" applyFont="1" applyFill="1" applyAlignment="1">
      <alignment horizontal="left" vertical="center"/>
    </xf>
    <xf numFmtId="0" fontId="0" fillId="6" borderId="0" xfId="0" applyFill="1" applyAlignment="1">
      <alignment horizontal="left" vertical="center" indent="1"/>
    </xf>
    <xf numFmtId="0" fontId="11" fillId="6" borderId="0" xfId="0" applyFont="1" applyFill="1" applyAlignment="1">
      <alignment horizontal="left" vertical="center"/>
    </xf>
    <xf numFmtId="0" fontId="0" fillId="6" borderId="58" xfId="0" applyFill="1" applyBorder="1" applyAlignment="1"/>
    <xf numFmtId="0" fontId="0" fillId="6" borderId="0" xfId="0" applyFill="1" applyBorder="1"/>
    <xf numFmtId="0" fontId="0" fillId="4" borderId="59" xfId="0" applyFill="1" applyBorder="1" applyAlignment="1"/>
    <xf numFmtId="0" fontId="0" fillId="4" borderId="60" xfId="0" applyFill="1" applyBorder="1" applyAlignment="1">
      <alignment horizontal="center"/>
    </xf>
    <xf numFmtId="0" fontId="0" fillId="4" borderId="61" xfId="0" applyFill="1" applyBorder="1" applyAlignment="1">
      <alignment horizontal="center"/>
    </xf>
    <xf numFmtId="0" fontId="0" fillId="4" borderId="59" xfId="0" applyFill="1" applyBorder="1" applyAlignment="1">
      <alignment horizontal="center" vertical="center"/>
    </xf>
    <xf numFmtId="0" fontId="0" fillId="4" borderId="60" xfId="0" applyFill="1" applyBorder="1" applyAlignment="1">
      <alignment horizontal="center" vertical="center"/>
    </xf>
    <xf numFmtId="0" fontId="0" fillId="4" borderId="61" xfId="0" applyFill="1" applyBorder="1" applyAlignment="1">
      <alignment horizontal="center" vertical="center"/>
    </xf>
    <xf numFmtId="0" fontId="0" fillId="4" borderId="11" xfId="0" applyFill="1" applyBorder="1" applyAlignment="1">
      <alignment horizontal="center" vertical="center"/>
    </xf>
    <xf numFmtId="2" fontId="0" fillId="4" borderId="13" xfId="0" applyNumberFormat="1" applyFill="1" applyBorder="1"/>
    <xf numFmtId="0" fontId="0" fillId="4" borderId="14" xfId="0" applyFill="1" applyBorder="1" applyAlignment="1">
      <alignment horizontal="center" vertical="center"/>
    </xf>
    <xf numFmtId="2" fontId="0" fillId="4" borderId="16" xfId="0" applyNumberFormat="1" applyFill="1" applyBorder="1"/>
    <xf numFmtId="0" fontId="0" fillId="6" borderId="0" xfId="0" applyFill="1" applyBorder="1" applyAlignment="1">
      <alignment horizontal="center" vertical="center"/>
    </xf>
    <xf numFmtId="2" fontId="0" fillId="6" borderId="0" xfId="0" applyNumberFormat="1" applyFill="1" applyBorder="1"/>
    <xf numFmtId="0" fontId="0" fillId="6" borderId="56" xfId="0" applyFill="1" applyBorder="1"/>
    <xf numFmtId="0" fontId="9" fillId="0" borderId="0" xfId="0" applyFont="1" applyFill="1" applyAlignment="1">
      <alignment vertical="center"/>
    </xf>
    <xf numFmtId="0" fontId="9" fillId="0" borderId="0" xfId="0" applyFont="1" applyFill="1" applyAlignment="1">
      <alignment horizontal="right" vertical="center"/>
    </xf>
    <xf numFmtId="0" fontId="0" fillId="3" borderId="0" xfId="0" applyFill="1"/>
    <xf numFmtId="0" fontId="2" fillId="4" borderId="0" xfId="0" applyFont="1" applyFill="1" applyBorder="1" applyAlignment="1">
      <alignment horizontal="right"/>
    </xf>
    <xf numFmtId="0" fontId="4" fillId="4" borderId="0" xfId="0" applyFont="1" applyFill="1" applyBorder="1" applyAlignment="1" applyProtection="1">
      <alignment horizontal="center" vertical="center"/>
    </xf>
    <xf numFmtId="0" fontId="0" fillId="0" borderId="0" xfId="0" applyBorder="1" applyProtection="1"/>
    <xf numFmtId="0" fontId="6" fillId="4" borderId="0" xfId="0" applyFont="1" applyFill="1" applyBorder="1" applyAlignment="1" applyProtection="1">
      <alignment horizontal="left" vertical="center"/>
    </xf>
    <xf numFmtId="0" fontId="3" fillId="4" borderId="0" xfId="0" applyFont="1" applyFill="1" applyBorder="1" applyAlignment="1" applyProtection="1">
      <alignment horizontal="left" vertical="center" indent="3"/>
    </xf>
    <xf numFmtId="0" fontId="2" fillId="4" borderId="0" xfId="0" applyFont="1" applyFill="1" applyBorder="1" applyAlignment="1" applyProtection="1">
      <alignment horizontal="left" vertical="center" indent="3"/>
    </xf>
    <xf numFmtId="0" fontId="2" fillId="4" borderId="0" xfId="0" applyFont="1" applyFill="1" applyBorder="1" applyAlignment="1" applyProtection="1">
      <alignment horizontal="center" vertical="center"/>
    </xf>
    <xf numFmtId="0" fontId="0" fillId="0" borderId="0" xfId="0" applyProtection="1"/>
    <xf numFmtId="0" fontId="2" fillId="4" borderId="0" xfId="0" applyFont="1" applyFill="1" applyBorder="1" applyProtection="1"/>
    <xf numFmtId="0" fontId="2" fillId="4" borderId="0" xfId="0" applyFont="1" applyFill="1" applyBorder="1" applyProtection="1">
      <protection locked="0"/>
    </xf>
    <xf numFmtId="0" fontId="0" fillId="4" borderId="0" xfId="0" applyFill="1" applyBorder="1" applyProtection="1"/>
    <xf numFmtId="0" fontId="2" fillId="4" borderId="0" xfId="0" applyFont="1" applyFill="1" applyBorder="1" applyAlignment="1" applyProtection="1">
      <alignment horizontal="center" vertical="center"/>
      <protection locked="0"/>
    </xf>
    <xf numFmtId="0" fontId="0" fillId="4" borderId="0" xfId="0" applyFill="1" applyProtection="1"/>
    <xf numFmtId="1" fontId="3" fillId="4" borderId="17" xfId="0" applyNumberFormat="1" applyFont="1" applyFill="1" applyBorder="1" applyAlignment="1">
      <alignment vertical="center"/>
    </xf>
    <xf numFmtId="0" fontId="3" fillId="4" borderId="17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vertical="center"/>
    </xf>
    <xf numFmtId="0" fontId="0" fillId="4" borderId="33" xfId="0" applyFill="1" applyBorder="1" applyProtection="1"/>
    <xf numFmtId="0" fontId="0" fillId="4" borderId="47" xfId="0" applyFill="1" applyBorder="1" applyProtection="1"/>
    <xf numFmtId="0" fontId="0" fillId="4" borderId="31" xfId="0" applyFill="1" applyBorder="1" applyProtection="1"/>
    <xf numFmtId="0" fontId="6" fillId="4" borderId="0" xfId="0" applyFont="1" applyFill="1" applyBorder="1" applyAlignment="1" applyProtection="1">
      <alignment horizontal="left" indent="2"/>
    </xf>
    <xf numFmtId="0" fontId="0" fillId="8" borderId="58" xfId="0" applyFill="1" applyBorder="1" applyProtection="1">
      <protection locked="0"/>
    </xf>
    <xf numFmtId="0" fontId="0" fillId="8" borderId="57" xfId="0" applyFill="1" applyBorder="1" applyProtection="1">
      <protection locked="0"/>
    </xf>
    <xf numFmtId="0" fontId="0" fillId="8" borderId="68" xfId="0" applyFill="1" applyBorder="1" applyProtection="1">
      <protection locked="0"/>
    </xf>
    <xf numFmtId="0" fontId="0" fillId="8" borderId="66" xfId="0" applyFill="1" applyBorder="1" applyProtection="1">
      <protection locked="0"/>
    </xf>
    <xf numFmtId="0" fontId="0" fillId="8" borderId="0" xfId="0" applyFill="1" applyBorder="1" applyProtection="1">
      <protection locked="0"/>
    </xf>
    <xf numFmtId="0" fontId="0" fillId="8" borderId="56" xfId="0" applyFill="1" applyBorder="1" applyProtection="1">
      <protection locked="0"/>
    </xf>
    <xf numFmtId="0" fontId="2" fillId="8" borderId="66" xfId="0" applyFont="1" applyFill="1" applyBorder="1" applyProtection="1">
      <protection locked="0"/>
    </xf>
    <xf numFmtId="0" fontId="2" fillId="8" borderId="0" xfId="0" applyFont="1" applyFill="1" applyBorder="1" applyProtection="1">
      <protection locked="0"/>
    </xf>
    <xf numFmtId="0" fontId="2" fillId="8" borderId="56" xfId="0" applyFont="1" applyFill="1" applyBorder="1" applyProtection="1">
      <protection locked="0"/>
    </xf>
    <xf numFmtId="0" fontId="2" fillId="4" borderId="0" xfId="0" applyFont="1" applyFill="1" applyBorder="1" applyAlignment="1" applyProtection="1">
      <alignment wrapText="1"/>
      <protection locked="0"/>
    </xf>
    <xf numFmtId="0" fontId="3" fillId="4" borderId="0" xfId="0" applyFont="1" applyFill="1" applyBorder="1" applyProtection="1"/>
    <xf numFmtId="0" fontId="6" fillId="4" borderId="34" xfId="0" applyFont="1" applyFill="1" applyBorder="1" applyAlignment="1">
      <alignment horizontal="left" vertical="center" indent="2"/>
    </xf>
    <xf numFmtId="0" fontId="3" fillId="4" borderId="0" xfId="0" applyFont="1" applyFill="1" applyBorder="1" applyAlignment="1" applyProtection="1">
      <alignment horizontal="left" vertical="center" indent="4"/>
    </xf>
    <xf numFmtId="0" fontId="3" fillId="4" borderId="0" xfId="0" applyFont="1" applyFill="1" applyBorder="1" applyAlignment="1">
      <alignment horizontal="left" indent="2"/>
    </xf>
    <xf numFmtId="0" fontId="6" fillId="4" borderId="34" xfId="0" applyFont="1" applyFill="1" applyBorder="1" applyAlignment="1">
      <alignment horizontal="left" vertical="center" indent="1"/>
    </xf>
    <xf numFmtId="0" fontId="5" fillId="4" borderId="0" xfId="0" applyFont="1" applyFill="1" applyBorder="1" applyAlignment="1">
      <alignment horizontal="center" vertical="center" textRotation="90"/>
    </xf>
    <xf numFmtId="0" fontId="5" fillId="4" borderId="17" xfId="0" applyFont="1" applyFill="1" applyBorder="1" applyAlignment="1">
      <alignment vertical="center" textRotation="90"/>
    </xf>
    <xf numFmtId="0" fontId="5" fillId="4" borderId="0" xfId="0" applyFont="1" applyFill="1" applyBorder="1" applyAlignment="1">
      <alignment horizontal="center" vertical="center"/>
    </xf>
    <xf numFmtId="0" fontId="5" fillId="4" borderId="32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 wrapText="1"/>
    </xf>
    <xf numFmtId="0" fontId="5" fillId="4" borderId="0" xfId="0" applyFont="1" applyFill="1" applyBorder="1" applyAlignment="1">
      <alignment horizontal="center" vertical="center" wrapText="1"/>
    </xf>
    <xf numFmtId="0" fontId="5" fillId="4" borderId="32" xfId="0" applyFont="1" applyFill="1" applyBorder="1" applyAlignment="1">
      <alignment horizontal="center" vertical="center" wrapText="1"/>
    </xf>
    <xf numFmtId="0" fontId="5" fillId="4" borderId="34" xfId="0" applyFont="1" applyFill="1" applyBorder="1" applyAlignment="1">
      <alignment horizontal="center" vertical="center"/>
    </xf>
    <xf numFmtId="0" fontId="5" fillId="4" borderId="39" xfId="0" applyFont="1" applyFill="1" applyBorder="1" applyAlignment="1">
      <alignment horizontal="center" vertical="center"/>
    </xf>
    <xf numFmtId="0" fontId="5" fillId="4" borderId="66" xfId="0" applyFont="1" applyFill="1" applyBorder="1" applyAlignment="1">
      <alignment horizontal="center" vertical="center" textRotation="90"/>
    </xf>
    <xf numFmtId="0" fontId="5" fillId="4" borderId="66" xfId="0" applyFont="1" applyFill="1" applyBorder="1" applyAlignment="1">
      <alignment horizontal="center" vertical="center"/>
    </xf>
    <xf numFmtId="0" fontId="2" fillId="4" borderId="34" xfId="0" applyFont="1" applyFill="1" applyBorder="1" applyAlignment="1" applyProtection="1"/>
    <xf numFmtId="0" fontId="0" fillId="4" borderId="66" xfId="0" applyFill="1" applyBorder="1"/>
    <xf numFmtId="0" fontId="5" fillId="4" borderId="66" xfId="0" applyFont="1" applyFill="1" applyBorder="1" applyAlignment="1">
      <alignment horizontal="center" vertical="center" wrapText="1"/>
    </xf>
    <xf numFmtId="0" fontId="2" fillId="4" borderId="72" xfId="0" applyFont="1" applyFill="1" applyBorder="1"/>
    <xf numFmtId="0" fontId="2" fillId="4" borderId="73" xfId="0" applyFont="1" applyFill="1" applyBorder="1"/>
    <xf numFmtId="0" fontId="2" fillId="4" borderId="75" xfId="0" applyFont="1" applyFill="1" applyBorder="1"/>
    <xf numFmtId="1" fontId="2" fillId="4" borderId="69" xfId="0" applyNumberFormat="1" applyFont="1" applyFill="1" applyBorder="1"/>
    <xf numFmtId="1" fontId="2" fillId="4" borderId="70" xfId="0" applyNumberFormat="1" applyFont="1" applyFill="1" applyBorder="1"/>
    <xf numFmtId="0" fontId="2" fillId="4" borderId="23" xfId="0" applyFont="1" applyFill="1" applyBorder="1"/>
    <xf numFmtId="0" fontId="2" fillId="4" borderId="20" xfId="0" applyFont="1" applyFill="1" applyBorder="1" applyAlignment="1">
      <alignment horizontal="center" vertical="center"/>
    </xf>
    <xf numFmtId="0" fontId="2" fillId="4" borderId="36" xfId="0" applyFont="1" applyFill="1" applyBorder="1" applyAlignment="1">
      <alignment horizontal="left" vertical="top"/>
    </xf>
    <xf numFmtId="1" fontId="2" fillId="4" borderId="8" xfId="0" applyNumberFormat="1" applyFont="1" applyFill="1" applyBorder="1"/>
    <xf numFmtId="1" fontId="2" fillId="4" borderId="9" xfId="0" applyNumberFormat="1" applyFont="1" applyFill="1" applyBorder="1"/>
    <xf numFmtId="1" fontId="2" fillId="4" borderId="10" xfId="0" applyNumberFormat="1" applyFont="1" applyFill="1" applyBorder="1"/>
    <xf numFmtId="0" fontId="4" fillId="4" borderId="40" xfId="0" applyFont="1" applyFill="1" applyBorder="1" applyAlignment="1">
      <alignment horizontal="center" vertical="center"/>
    </xf>
    <xf numFmtId="0" fontId="4" fillId="4" borderId="33" xfId="0" applyFont="1" applyFill="1" applyBorder="1" applyAlignment="1">
      <alignment horizontal="center" vertical="center"/>
    </xf>
    <xf numFmtId="0" fontId="4" fillId="4" borderId="47" xfId="0" applyFont="1" applyFill="1" applyBorder="1" applyAlignment="1">
      <alignment horizontal="center" vertical="center"/>
    </xf>
    <xf numFmtId="0" fontId="4" fillId="4" borderId="38" xfId="0" applyFont="1" applyFill="1" applyBorder="1" applyAlignment="1">
      <alignment horizontal="center" vertical="center"/>
    </xf>
    <xf numFmtId="0" fontId="4" fillId="4" borderId="39" xfId="0" applyFont="1" applyFill="1" applyBorder="1" applyAlignment="1">
      <alignment horizontal="center" vertical="center"/>
    </xf>
    <xf numFmtId="0" fontId="4" fillId="4" borderId="44" xfId="0" applyFont="1" applyFill="1" applyBorder="1" applyAlignment="1">
      <alignment horizontal="center" vertical="center"/>
    </xf>
    <xf numFmtId="0" fontId="3" fillId="3" borderId="17" xfId="0" applyFont="1" applyFill="1" applyBorder="1" applyAlignment="1">
      <alignment horizontal="center" vertical="center"/>
    </xf>
    <xf numFmtId="0" fontId="3" fillId="3" borderId="30" xfId="0" applyFont="1" applyFill="1" applyBorder="1" applyAlignment="1">
      <alignment horizontal="center" vertical="center"/>
    </xf>
    <xf numFmtId="0" fontId="3" fillId="3" borderId="17" xfId="0" applyFont="1" applyFill="1" applyBorder="1" applyAlignment="1">
      <alignment horizontal="center"/>
    </xf>
    <xf numFmtId="0" fontId="3" fillId="3" borderId="30" xfId="0" applyFont="1" applyFill="1" applyBorder="1" applyAlignment="1">
      <alignment horizontal="center"/>
    </xf>
    <xf numFmtId="0" fontId="3" fillId="3" borderId="46" xfId="0" applyFont="1" applyFill="1" applyBorder="1" applyAlignment="1">
      <alignment horizontal="center" vertical="center"/>
    </xf>
    <xf numFmtId="0" fontId="3" fillId="3" borderId="25" xfId="0" applyFont="1" applyFill="1" applyBorder="1" applyAlignment="1">
      <alignment horizontal="center" vertical="center"/>
    </xf>
    <xf numFmtId="0" fontId="3" fillId="3" borderId="37" xfId="0" applyFont="1" applyFill="1" applyBorder="1" applyAlignment="1">
      <alignment horizontal="center" vertical="center"/>
    </xf>
    <xf numFmtId="0" fontId="3" fillId="3" borderId="33" xfId="0" applyFont="1" applyFill="1" applyBorder="1" applyAlignment="1">
      <alignment horizontal="center" vertical="center"/>
    </xf>
    <xf numFmtId="0" fontId="3" fillId="3" borderId="47" xfId="0" applyFont="1" applyFill="1" applyBorder="1" applyAlignment="1">
      <alignment horizontal="center" vertical="center"/>
    </xf>
    <xf numFmtId="0" fontId="2" fillId="4" borderId="0" xfId="0" applyFont="1" applyFill="1" applyBorder="1" applyAlignment="1">
      <alignment horizontal="right"/>
    </xf>
    <xf numFmtId="0" fontId="2" fillId="2" borderId="23" xfId="0" applyFont="1" applyFill="1" applyBorder="1" applyAlignment="1" applyProtection="1">
      <alignment horizontal="center" vertical="center"/>
      <protection locked="0"/>
    </xf>
    <xf numFmtId="0" fontId="2" fillId="2" borderId="20" xfId="0" applyFont="1" applyFill="1" applyBorder="1" applyAlignment="1" applyProtection="1">
      <alignment horizontal="center" vertical="center"/>
      <protection locked="0"/>
    </xf>
    <xf numFmtId="0" fontId="2" fillId="2" borderId="36" xfId="0" applyFont="1" applyFill="1" applyBorder="1" applyAlignment="1" applyProtection="1">
      <alignment horizontal="center" vertical="center"/>
      <protection locked="0"/>
    </xf>
    <xf numFmtId="0" fontId="3" fillId="4" borderId="0" xfId="0" applyFont="1" applyFill="1" applyBorder="1" applyAlignment="1">
      <alignment horizontal="left" indent="2"/>
    </xf>
    <xf numFmtId="0" fontId="3" fillId="4" borderId="0" xfId="0" applyFont="1" applyFill="1" applyBorder="1" applyAlignment="1">
      <alignment horizontal="left" vertical="center" indent="2"/>
    </xf>
    <xf numFmtId="2" fontId="3" fillId="3" borderId="29" xfId="0" applyNumberFormat="1" applyFont="1" applyFill="1" applyBorder="1" applyAlignment="1">
      <alignment horizontal="center" vertical="center"/>
    </xf>
    <xf numFmtId="2" fontId="3" fillId="3" borderId="17" xfId="0" applyNumberFormat="1" applyFont="1" applyFill="1" applyBorder="1" applyAlignment="1">
      <alignment horizontal="center" vertical="center"/>
    </xf>
    <xf numFmtId="2" fontId="3" fillId="3" borderId="30" xfId="0" applyNumberFormat="1" applyFont="1" applyFill="1" applyBorder="1" applyAlignment="1">
      <alignment horizontal="center" vertical="center"/>
    </xf>
    <xf numFmtId="0" fontId="3" fillId="4" borderId="7" xfId="0" applyFont="1" applyFill="1" applyBorder="1" applyAlignment="1">
      <alignment horizontal="center"/>
    </xf>
    <xf numFmtId="0" fontId="3" fillId="4" borderId="7" xfId="0" applyFont="1" applyFill="1" applyBorder="1" applyAlignment="1">
      <alignment horizontal="center" vertical="center"/>
    </xf>
    <xf numFmtId="0" fontId="3" fillId="4" borderId="74" xfId="0" applyFont="1" applyFill="1" applyBorder="1" applyAlignment="1">
      <alignment horizontal="center"/>
    </xf>
    <xf numFmtId="0" fontId="3" fillId="4" borderId="42" xfId="0" applyFont="1" applyFill="1" applyBorder="1" applyAlignment="1">
      <alignment horizontal="center"/>
    </xf>
    <xf numFmtId="0" fontId="3" fillId="4" borderId="43" xfId="0" applyFont="1" applyFill="1" applyBorder="1" applyAlignment="1">
      <alignment horizontal="center"/>
    </xf>
    <xf numFmtId="0" fontId="3" fillId="4" borderId="0" xfId="0" applyFont="1" applyFill="1" applyBorder="1" applyAlignment="1">
      <alignment horizontal="left" vertical="center" wrapText="1" indent="2"/>
    </xf>
    <xf numFmtId="0" fontId="7" fillId="4" borderId="15" xfId="0" applyFont="1" applyFill="1" applyBorder="1" applyAlignment="1">
      <alignment horizontal="center"/>
    </xf>
    <xf numFmtId="0" fontId="7" fillId="4" borderId="16" xfId="0" applyFont="1" applyFill="1" applyBorder="1" applyAlignment="1">
      <alignment horizontal="center"/>
    </xf>
    <xf numFmtId="0" fontId="7" fillId="4" borderId="9" xfId="0" applyFont="1" applyFill="1" applyBorder="1" applyAlignment="1">
      <alignment horizontal="center"/>
    </xf>
    <xf numFmtId="0" fontId="7" fillId="4" borderId="10" xfId="0" applyFont="1" applyFill="1" applyBorder="1" applyAlignment="1">
      <alignment horizontal="center"/>
    </xf>
    <xf numFmtId="0" fontId="7" fillId="4" borderId="12" xfId="0" applyFont="1" applyFill="1" applyBorder="1" applyAlignment="1">
      <alignment horizontal="center"/>
    </xf>
    <xf numFmtId="0" fontId="7" fillId="4" borderId="13" xfId="0" applyFont="1" applyFill="1" applyBorder="1" applyAlignment="1">
      <alignment horizontal="center"/>
    </xf>
    <xf numFmtId="0" fontId="2" fillId="4" borderId="0" xfId="0" applyFont="1" applyFill="1" applyBorder="1" applyAlignment="1">
      <alignment horizontal="right" vertical="center"/>
    </xf>
    <xf numFmtId="0" fontId="3" fillId="4" borderId="0" xfId="0" applyFont="1" applyFill="1" applyBorder="1" applyAlignment="1">
      <alignment horizontal="left" indent="4"/>
    </xf>
    <xf numFmtId="0" fontId="2" fillId="4" borderId="0" xfId="0" applyFont="1" applyFill="1" applyBorder="1" applyAlignment="1">
      <alignment horizontal="left" indent="7"/>
    </xf>
    <xf numFmtId="0" fontId="3" fillId="0" borderId="0" xfId="0" applyFont="1" applyFill="1" applyBorder="1" applyAlignment="1" applyProtection="1">
      <alignment horizontal="left" vertical="center" wrapText="1" indent="2"/>
    </xf>
    <xf numFmtId="0" fontId="6" fillId="4" borderId="34" xfId="0" applyFont="1" applyFill="1" applyBorder="1" applyAlignment="1">
      <alignment horizontal="left" vertical="center" wrapText="1" indent="2"/>
    </xf>
    <xf numFmtId="0" fontId="6" fillId="4" borderId="53" xfId="0" applyFont="1" applyFill="1" applyBorder="1" applyAlignment="1">
      <alignment horizontal="left" vertical="center" wrapText="1" indent="2"/>
    </xf>
    <xf numFmtId="0" fontId="3" fillId="3" borderId="23" xfId="0" applyFont="1" applyFill="1" applyBorder="1" applyAlignment="1" applyProtection="1">
      <alignment horizontal="center" vertical="center"/>
    </xf>
    <xf numFmtId="0" fontId="3" fillId="3" borderId="20" xfId="0" applyFont="1" applyFill="1" applyBorder="1" applyAlignment="1" applyProtection="1">
      <alignment horizontal="center" vertical="center"/>
    </xf>
    <xf numFmtId="0" fontId="3" fillId="3" borderId="36" xfId="0" applyFont="1" applyFill="1" applyBorder="1" applyAlignment="1" applyProtection="1">
      <alignment horizontal="center" vertical="center"/>
    </xf>
    <xf numFmtId="0" fontId="2" fillId="4" borderId="63" xfId="0" applyFont="1" applyFill="1" applyBorder="1" applyAlignment="1" applyProtection="1">
      <alignment horizontal="center"/>
    </xf>
    <xf numFmtId="0" fontId="2" fillId="4" borderId="0" xfId="0" applyFont="1" applyFill="1" applyBorder="1" applyAlignment="1" applyProtection="1">
      <alignment horizontal="right"/>
    </xf>
    <xf numFmtId="0" fontId="5" fillId="4" borderId="48" xfId="0" applyFont="1" applyFill="1" applyBorder="1" applyAlignment="1">
      <alignment horizontal="center" vertical="center" textRotation="90"/>
    </xf>
    <xf numFmtId="0" fontId="5" fillId="4" borderId="49" xfId="0" applyFont="1" applyFill="1" applyBorder="1" applyAlignment="1">
      <alignment horizontal="center" vertical="center" textRotation="90"/>
    </xf>
    <xf numFmtId="0" fontId="5" fillId="4" borderId="50" xfId="0" applyFont="1" applyFill="1" applyBorder="1" applyAlignment="1">
      <alignment horizontal="center" vertical="center" textRotation="90"/>
    </xf>
    <xf numFmtId="0" fontId="2" fillId="2" borderId="23" xfId="0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/>
      <protection locked="0"/>
    </xf>
    <xf numFmtId="0" fontId="2" fillId="2" borderId="36" xfId="0" applyFont="1" applyFill="1" applyBorder="1" applyAlignment="1" applyProtection="1">
      <alignment horizontal="center"/>
      <protection locked="0"/>
    </xf>
    <xf numFmtId="0" fontId="2" fillId="2" borderId="62" xfId="0" applyFont="1" applyFill="1" applyBorder="1" applyAlignment="1" applyProtection="1">
      <alignment horizontal="center" vertical="center"/>
      <protection locked="0"/>
    </xf>
    <xf numFmtId="0" fontId="2" fillId="2" borderId="63" xfId="0" applyFont="1" applyFill="1" applyBorder="1" applyAlignment="1" applyProtection="1">
      <alignment horizontal="center" vertical="center"/>
      <protection locked="0"/>
    </xf>
    <xf numFmtId="0" fontId="2" fillId="2" borderId="64" xfId="0" applyFont="1" applyFill="1" applyBorder="1" applyAlignment="1" applyProtection="1">
      <alignment horizontal="center" vertical="center"/>
      <protection locked="0"/>
    </xf>
    <xf numFmtId="0" fontId="19" fillId="8" borderId="66" xfId="0" applyFont="1" applyFill="1" applyBorder="1" applyAlignment="1" applyProtection="1">
      <alignment horizontal="center" vertical="center" wrapText="1"/>
      <protection locked="0"/>
    </xf>
    <xf numFmtId="0" fontId="19" fillId="8" borderId="0" xfId="0" applyFont="1" applyFill="1" applyBorder="1" applyAlignment="1" applyProtection="1">
      <alignment horizontal="center" vertical="center" wrapText="1"/>
      <protection locked="0"/>
    </xf>
    <xf numFmtId="0" fontId="19" fillId="8" borderId="56" xfId="0" applyFont="1" applyFill="1" applyBorder="1" applyAlignment="1" applyProtection="1">
      <alignment horizontal="center" vertical="center" wrapText="1"/>
      <protection locked="0"/>
    </xf>
    <xf numFmtId="0" fontId="19" fillId="8" borderId="62" xfId="0" applyFont="1" applyFill="1" applyBorder="1" applyAlignment="1" applyProtection="1">
      <alignment horizontal="center" vertical="center" wrapText="1"/>
      <protection locked="0"/>
    </xf>
    <xf numFmtId="0" fontId="19" fillId="8" borderId="63" xfId="0" applyFont="1" applyFill="1" applyBorder="1" applyAlignment="1" applyProtection="1">
      <alignment horizontal="center" vertical="center" wrapText="1"/>
      <protection locked="0"/>
    </xf>
    <xf numFmtId="0" fontId="19" fillId="8" borderId="64" xfId="0" applyFont="1" applyFill="1" applyBorder="1" applyAlignment="1" applyProtection="1">
      <alignment horizontal="center" vertical="center" wrapText="1"/>
      <protection locked="0"/>
    </xf>
    <xf numFmtId="164" fontId="2" fillId="2" borderId="23" xfId="0" applyNumberFormat="1" applyFont="1" applyFill="1" applyBorder="1" applyAlignment="1" applyProtection="1">
      <alignment horizontal="center" vertical="center"/>
      <protection locked="0"/>
    </xf>
    <xf numFmtId="164" fontId="2" fillId="2" borderId="20" xfId="0" applyNumberFormat="1" applyFont="1" applyFill="1" applyBorder="1" applyAlignment="1" applyProtection="1">
      <alignment horizontal="center" vertical="center"/>
      <protection locked="0"/>
    </xf>
    <xf numFmtId="164" fontId="2" fillId="2" borderId="36" xfId="0" applyNumberFormat="1" applyFont="1" applyFill="1" applyBorder="1" applyAlignment="1" applyProtection="1">
      <alignment horizontal="center" vertical="center"/>
      <protection locked="0"/>
    </xf>
    <xf numFmtId="2" fontId="2" fillId="2" borderId="23" xfId="0" applyNumberFormat="1" applyFont="1" applyFill="1" applyBorder="1" applyAlignment="1" applyProtection="1">
      <alignment horizontal="center" vertical="center"/>
      <protection locked="0"/>
    </xf>
    <xf numFmtId="2" fontId="2" fillId="2" borderId="20" xfId="0" applyNumberFormat="1" applyFont="1" applyFill="1" applyBorder="1" applyAlignment="1" applyProtection="1">
      <alignment horizontal="center" vertical="center"/>
      <protection locked="0"/>
    </xf>
    <xf numFmtId="2" fontId="2" fillId="2" borderId="36" xfId="0" applyNumberFormat="1" applyFont="1" applyFill="1" applyBorder="1" applyAlignment="1" applyProtection="1">
      <alignment horizontal="center" vertical="center"/>
      <protection locked="0"/>
    </xf>
    <xf numFmtId="1" fontId="2" fillId="2" borderId="23" xfId="0" applyNumberFormat="1" applyFont="1" applyFill="1" applyBorder="1" applyAlignment="1" applyProtection="1">
      <alignment horizontal="center" vertical="center"/>
      <protection locked="0"/>
    </xf>
    <xf numFmtId="1" fontId="2" fillId="2" borderId="20" xfId="0" applyNumberFormat="1" applyFont="1" applyFill="1" applyBorder="1" applyAlignment="1" applyProtection="1">
      <alignment horizontal="center" vertical="center"/>
      <protection locked="0"/>
    </xf>
    <xf numFmtId="1" fontId="2" fillId="2" borderId="36" xfId="0" applyNumberFormat="1" applyFont="1" applyFill="1" applyBorder="1" applyAlignment="1" applyProtection="1">
      <alignment horizontal="center" vertical="center"/>
      <protection locked="0"/>
    </xf>
    <xf numFmtId="0" fontId="5" fillId="4" borderId="67" xfId="0" applyFont="1" applyFill="1" applyBorder="1" applyAlignment="1">
      <alignment horizontal="center" vertical="center" wrapText="1"/>
    </xf>
    <xf numFmtId="0" fontId="5" fillId="4" borderId="49" xfId="0" applyFont="1" applyFill="1" applyBorder="1" applyAlignment="1">
      <alignment horizontal="center" vertical="center" wrapText="1"/>
    </xf>
    <xf numFmtId="0" fontId="5" fillId="4" borderId="65" xfId="0" applyFont="1" applyFill="1" applyBorder="1" applyAlignment="1">
      <alignment horizontal="center" vertical="center" wrapText="1"/>
    </xf>
    <xf numFmtId="0" fontId="5" fillId="4" borderId="67" xfId="0" applyFont="1" applyFill="1" applyBorder="1" applyAlignment="1">
      <alignment horizontal="center" vertical="center"/>
    </xf>
    <xf numFmtId="0" fontId="5" fillId="4" borderId="49" xfId="0" applyFont="1" applyFill="1" applyBorder="1" applyAlignment="1">
      <alignment horizontal="center" vertical="center"/>
    </xf>
    <xf numFmtId="0" fontId="5" fillId="4" borderId="50" xfId="0" applyFont="1" applyFill="1" applyBorder="1" applyAlignment="1">
      <alignment horizontal="center" vertical="center"/>
    </xf>
    <xf numFmtId="0" fontId="2" fillId="4" borderId="71" xfId="0" applyFont="1" applyFill="1" applyBorder="1" applyAlignment="1" applyProtection="1">
      <alignment horizontal="center"/>
    </xf>
    <xf numFmtId="0" fontId="5" fillId="4" borderId="48" xfId="0" applyFont="1" applyFill="1" applyBorder="1" applyAlignment="1">
      <alignment horizontal="center" vertical="center"/>
    </xf>
    <xf numFmtId="0" fontId="5" fillId="4" borderId="65" xfId="0" applyFont="1" applyFill="1" applyBorder="1" applyAlignment="1">
      <alignment horizontal="center" vertical="center"/>
    </xf>
    <xf numFmtId="0" fontId="7" fillId="4" borderId="14" xfId="0" applyFont="1" applyFill="1" applyBorder="1" applyAlignment="1">
      <alignment horizontal="center"/>
    </xf>
    <xf numFmtId="0" fontId="21" fillId="4" borderId="23" xfId="0" applyFont="1" applyFill="1" applyBorder="1" applyAlignment="1">
      <alignment horizontal="center"/>
    </xf>
    <xf numFmtId="0" fontId="21" fillId="4" borderId="36" xfId="0" applyFont="1" applyFill="1" applyBorder="1" applyAlignment="1">
      <alignment horizontal="center"/>
    </xf>
    <xf numFmtId="0" fontId="7" fillId="4" borderId="11" xfId="0" applyFont="1" applyFill="1" applyBorder="1" applyAlignment="1">
      <alignment horizontal="center"/>
    </xf>
    <xf numFmtId="0" fontId="7" fillId="4" borderId="8" xfId="0" applyFont="1" applyFill="1" applyBorder="1" applyAlignment="1">
      <alignment horizontal="center"/>
    </xf>
    <xf numFmtId="0" fontId="3" fillId="4" borderId="76" xfId="0" applyFont="1" applyFill="1" applyBorder="1" applyAlignment="1">
      <alignment horizontal="center"/>
    </xf>
    <xf numFmtId="0" fontId="3" fillId="4" borderId="77" xfId="0" applyFont="1" applyFill="1" applyBorder="1" applyAlignment="1">
      <alignment horizontal="center"/>
    </xf>
    <xf numFmtId="0" fontId="3" fillId="4" borderId="78" xfId="0" applyFont="1" applyFill="1" applyBorder="1" applyAlignment="1">
      <alignment horizontal="center"/>
    </xf>
    <xf numFmtId="0" fontId="20" fillId="4" borderId="23" xfId="0" applyFont="1" applyFill="1" applyBorder="1" applyAlignment="1">
      <alignment horizontal="center" vertical="center" wrapText="1"/>
    </xf>
    <xf numFmtId="0" fontId="20" fillId="4" borderId="36" xfId="0" applyFont="1" applyFill="1" applyBorder="1" applyAlignment="1">
      <alignment horizontal="center" vertical="center" wrapText="1"/>
    </xf>
    <xf numFmtId="0" fontId="18" fillId="6" borderId="0" xfId="0" applyFont="1" applyFill="1" applyAlignment="1">
      <alignment horizontal="center" vertical="center"/>
    </xf>
    <xf numFmtId="0" fontId="0" fillId="5" borderId="1" xfId="0" applyFill="1" applyBorder="1" applyAlignment="1">
      <alignment horizontal="right" vertical="center"/>
    </xf>
    <xf numFmtId="0" fontId="0" fillId="5" borderId="2" xfId="0" applyFill="1" applyBorder="1" applyAlignment="1">
      <alignment horizontal="right" vertical="center"/>
    </xf>
    <xf numFmtId="0" fontId="0" fillId="5" borderId="18" xfId="0" applyFill="1" applyBorder="1" applyAlignment="1">
      <alignment horizontal="right" vertical="center"/>
    </xf>
    <xf numFmtId="0" fontId="0" fillId="5" borderId="7" xfId="0" applyFill="1" applyBorder="1" applyAlignment="1">
      <alignment horizontal="right" vertical="center"/>
    </xf>
    <xf numFmtId="0" fontId="0" fillId="5" borderId="4" xfId="0" applyFill="1" applyBorder="1" applyAlignment="1">
      <alignment horizontal="right" vertical="center" wrapText="1"/>
    </xf>
    <xf numFmtId="0" fontId="0" fillId="5" borderId="5" xfId="0" applyFill="1" applyBorder="1" applyAlignment="1">
      <alignment horizontal="right" vertical="center" wrapText="1"/>
    </xf>
    <xf numFmtId="0" fontId="0" fillId="5" borderId="19" xfId="0" applyFill="1" applyBorder="1" applyAlignment="1">
      <alignment horizontal="center"/>
    </xf>
    <xf numFmtId="0" fontId="0" fillId="5" borderId="20" xfId="0" applyFill="1" applyBorder="1" applyAlignment="1">
      <alignment horizontal="center"/>
    </xf>
    <xf numFmtId="0" fontId="0" fillId="5" borderId="21" xfId="0" applyFill="1" applyBorder="1" applyAlignment="1">
      <alignment horizontal="center"/>
    </xf>
    <xf numFmtId="0" fontId="18" fillId="6" borderId="0" xfId="0" applyFont="1" applyFill="1" applyAlignment="1">
      <alignment horizontal="center"/>
    </xf>
    <xf numFmtId="0" fontId="0" fillId="4" borderId="8" xfId="0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/>
    </xf>
    <xf numFmtId="0" fontId="9" fillId="6" borderId="0" xfId="0" applyFont="1" applyFill="1" applyAlignment="1">
      <alignment horizontal="left" vertical="center" wrapText="1"/>
    </xf>
    <xf numFmtId="0" fontId="8" fillId="4" borderId="0" xfId="0" applyFont="1" applyFill="1" applyAlignment="1">
      <alignment horizontal="left" vertical="center" wrapText="1"/>
    </xf>
    <xf numFmtId="0" fontId="8" fillId="5" borderId="0" xfId="0" applyFont="1" applyFill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g"/><Relationship Id="rId1" Type="http://schemas.openxmlformats.org/officeDocument/2006/relationships/hyperlink" Target="http://climate.umn.edu/snow_fence/Components/Design/introduction.ht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23</xdr:col>
      <xdr:colOff>53339</xdr:colOff>
      <xdr:row>15</xdr:row>
      <xdr:rowOff>55108</xdr:rowOff>
    </xdr:from>
    <xdr:to>
      <xdr:col>25</xdr:col>
      <xdr:colOff>276224</xdr:colOff>
      <xdr:row>17</xdr:row>
      <xdr:rowOff>161925</xdr:rowOff>
    </xdr:to>
    <xdr:pic>
      <xdr:nvPicPr>
        <xdr:cNvPr id="2" name="Picture 1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863839" y="3198358"/>
          <a:ext cx="851535" cy="506867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projectwise/pw_working/moli1den/d1601369/Horizontal_Spacing_Plants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projectwise/pw_working/moli1den/d1611831/Horizontal_Spacing_Plant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ertical_Format"/>
      <sheetName val="Horizontal_Forment"/>
      <sheetName val="First_Row_Placement"/>
      <sheetName val="First_Row_Height"/>
      <sheetName val="Sheet1"/>
    </sheetNames>
    <sheetDataSet>
      <sheetData sheetId="0"/>
      <sheetData sheetId="1">
        <row r="3">
          <cell r="B3" t="str">
            <v>SLOPE</v>
          </cell>
          <cell r="E3" t="str">
            <v>HEIGHT OF MATURITY PLANT - IN FEET</v>
          </cell>
        </row>
        <row r="4">
          <cell r="B4" t="str">
            <v>RUN/RISE</v>
          </cell>
          <cell r="E4">
            <v>4</v>
          </cell>
          <cell r="F4">
            <v>5</v>
          </cell>
          <cell r="G4">
            <v>6</v>
          </cell>
          <cell r="H4">
            <v>7</v>
          </cell>
          <cell r="I4">
            <v>8</v>
          </cell>
          <cell r="J4">
            <v>9</v>
          </cell>
          <cell r="K4">
            <v>10</v>
          </cell>
          <cell r="L4">
            <v>11</v>
          </cell>
          <cell r="M4">
            <v>12</v>
          </cell>
          <cell r="N4">
            <v>13</v>
          </cell>
          <cell r="O4">
            <v>14</v>
          </cell>
          <cell r="P4">
            <v>15</v>
          </cell>
          <cell r="Q4">
            <v>16</v>
          </cell>
          <cell r="R4">
            <v>17</v>
          </cell>
          <cell r="S4">
            <v>18</v>
          </cell>
          <cell r="T4">
            <v>19</v>
          </cell>
          <cell r="U4">
            <v>20</v>
          </cell>
          <cell r="V4">
            <v>21</v>
          </cell>
          <cell r="W4">
            <v>22</v>
          </cell>
          <cell r="X4">
            <v>23</v>
          </cell>
          <cell r="Y4">
            <v>24</v>
          </cell>
          <cell r="Z4">
            <v>25</v>
          </cell>
        </row>
        <row r="5">
          <cell r="E5" t="str">
            <v>DISTANCE BETWEEN ROWS - IN FEET</v>
          </cell>
        </row>
        <row r="6">
          <cell r="B6">
            <v>3</v>
          </cell>
          <cell r="C6" t="str">
            <v>TO</v>
          </cell>
          <cell r="D6">
            <v>1</v>
          </cell>
          <cell r="E6">
            <v>11.552228145109108</v>
          </cell>
          <cell r="F6">
            <v>14.440285181386386</v>
          </cell>
          <cell r="G6">
            <v>17.328342217663664</v>
          </cell>
          <cell r="H6">
            <v>20.216399253940939</v>
          </cell>
          <cell r="I6">
            <v>23.104456290218216</v>
          </cell>
          <cell r="J6">
            <v>25.992513326495494</v>
          </cell>
          <cell r="K6">
            <v>28.880570362772772</v>
          </cell>
          <cell r="L6">
            <v>31.768627399050047</v>
          </cell>
          <cell r="M6">
            <v>34.656684435327328</v>
          </cell>
          <cell r="N6">
            <v>37.544741471604603</v>
          </cell>
          <cell r="O6">
            <v>40.432798507881877</v>
          </cell>
          <cell r="P6">
            <v>43.320855544159159</v>
          </cell>
          <cell r="Q6">
            <v>46.208912580436433</v>
          </cell>
          <cell r="R6">
            <v>49.096969616713707</v>
          </cell>
          <cell r="S6">
            <v>51.985026652990989</v>
          </cell>
          <cell r="T6">
            <v>54.873083689268263</v>
          </cell>
          <cell r="U6">
            <v>57.761140725545545</v>
          </cell>
          <cell r="V6">
            <v>60.649197761822819</v>
          </cell>
          <cell r="W6">
            <v>63.537254798100093</v>
          </cell>
          <cell r="X6">
            <v>66.425311834377368</v>
          </cell>
          <cell r="Y6">
            <v>69.313368870654656</v>
          </cell>
          <cell r="Z6">
            <v>72.201425906931931</v>
          </cell>
        </row>
        <row r="7">
          <cell r="B7">
            <v>4</v>
          </cell>
          <cell r="C7" t="str">
            <v>TO</v>
          </cell>
          <cell r="D7">
            <v>1</v>
          </cell>
          <cell r="E7">
            <v>15.66526945858376</v>
          </cell>
          <cell r="F7">
            <v>19.581586823229699</v>
          </cell>
          <cell r="G7">
            <v>23.497904187875641</v>
          </cell>
          <cell r="H7">
            <v>27.414221552521582</v>
          </cell>
          <cell r="I7">
            <v>31.330538917167519</v>
          </cell>
          <cell r="J7">
            <v>35.246856281813457</v>
          </cell>
          <cell r="K7">
            <v>39.163173646459398</v>
          </cell>
          <cell r="L7">
            <v>43.07949101110534</v>
          </cell>
          <cell r="M7">
            <v>46.995808375751281</v>
          </cell>
          <cell r="N7">
            <v>50.912125740397222</v>
          </cell>
          <cell r="O7">
            <v>54.828443105043164</v>
          </cell>
          <cell r="P7">
            <v>58.744760469689098</v>
          </cell>
          <cell r="Q7">
            <v>62.661077834335039</v>
          </cell>
          <cell r="R7">
            <v>66.57739519898098</v>
          </cell>
          <cell r="S7">
            <v>70.493712563626914</v>
          </cell>
          <cell r="T7">
            <v>74.410029928272863</v>
          </cell>
          <cell r="U7">
            <v>78.326347292918797</v>
          </cell>
          <cell r="V7">
            <v>82.242664657564745</v>
          </cell>
          <cell r="W7">
            <v>86.158982022210679</v>
          </cell>
          <cell r="X7">
            <v>90.075299386856614</v>
          </cell>
          <cell r="Y7">
            <v>93.991616751502562</v>
          </cell>
          <cell r="Z7">
            <v>97.907934116148496</v>
          </cell>
        </row>
        <row r="8">
          <cell r="B8">
            <v>5</v>
          </cell>
          <cell r="C8" t="str">
            <v>TO</v>
          </cell>
          <cell r="D8">
            <v>1</v>
          </cell>
          <cell r="E8">
            <v>19.732619502347571</v>
          </cell>
          <cell r="F8">
            <v>24.665774377934465</v>
          </cell>
          <cell r="G8">
            <v>29.598929253521359</v>
          </cell>
          <cell r="H8">
            <v>34.532084129108249</v>
          </cell>
          <cell r="I8">
            <v>39.465239004695142</v>
          </cell>
          <cell r="J8">
            <v>44.398393880282036</v>
          </cell>
          <cell r="K8">
            <v>49.33154875586893</v>
          </cell>
          <cell r="L8">
            <v>54.264703631455824</v>
          </cell>
          <cell r="M8">
            <v>59.197858507042717</v>
          </cell>
          <cell r="N8">
            <v>64.131013382629618</v>
          </cell>
          <cell r="O8">
            <v>69.064168258216498</v>
          </cell>
          <cell r="P8">
            <v>73.997323133803391</v>
          </cell>
          <cell r="Q8">
            <v>78.930478009390285</v>
          </cell>
          <cell r="R8">
            <v>83.863632884977179</v>
          </cell>
          <cell r="S8">
            <v>88.796787760564072</v>
          </cell>
          <cell r="T8">
            <v>93.729942636150966</v>
          </cell>
          <cell r="U8">
            <v>98.66309751173786</v>
          </cell>
          <cell r="V8">
            <v>103.59625238732475</v>
          </cell>
          <cell r="W8">
            <v>108.52940726291165</v>
          </cell>
          <cell r="X8">
            <v>113.46256213849854</v>
          </cell>
          <cell r="Y8">
            <v>118.39571701408543</v>
          </cell>
          <cell r="Z8">
            <v>123.32887188967233</v>
          </cell>
        </row>
        <row r="9">
          <cell r="B9">
            <v>6</v>
          </cell>
          <cell r="C9" t="str">
            <v>TO</v>
          </cell>
          <cell r="D9">
            <v>1</v>
          </cell>
          <cell r="E9">
            <v>23.777365163427184</v>
          </cell>
          <cell r="F9">
            <v>29.721706454283979</v>
          </cell>
          <cell r="G9">
            <v>35.666047745140773</v>
          </cell>
          <cell r="H9">
            <v>41.610389035997571</v>
          </cell>
          <cell r="I9">
            <v>47.554730326854369</v>
          </cell>
          <cell r="J9">
            <v>53.499071617711166</v>
          </cell>
          <cell r="K9">
            <v>59.443412908567957</v>
          </cell>
          <cell r="L9">
            <v>65.387754199424762</v>
          </cell>
          <cell r="M9">
            <v>71.332095490281546</v>
          </cell>
          <cell r="N9">
            <v>77.276436781138344</v>
          </cell>
          <cell r="O9">
            <v>83.220778071995142</v>
          </cell>
          <cell r="P9">
            <v>89.165119362851939</v>
          </cell>
          <cell r="Q9">
            <v>95.109460653708737</v>
          </cell>
          <cell r="R9">
            <v>101.05380194456554</v>
          </cell>
          <cell r="S9">
            <v>106.99814323542233</v>
          </cell>
          <cell r="T9">
            <v>112.94248452627913</v>
          </cell>
          <cell r="U9">
            <v>118.88682581713591</v>
          </cell>
          <cell r="V9">
            <v>124.83116710799271</v>
          </cell>
          <cell r="W9">
            <v>130.77550839884952</v>
          </cell>
          <cell r="X9">
            <v>136.71984968970631</v>
          </cell>
          <cell r="Y9">
            <v>142.66419098056309</v>
          </cell>
          <cell r="Z9">
            <v>148.6085322714199</v>
          </cell>
        </row>
      </sheetData>
      <sheetData sheetId="2">
        <row r="2">
          <cell r="B2" t="str">
            <v xml:space="preserve">MINIMUM SET BACK AND HEIGHT OF MATURE PLANTS FOR FIRST ROW </v>
          </cell>
        </row>
        <row r="3">
          <cell r="B3" t="str">
            <v>SLOPE OF</v>
          </cell>
          <cell r="C3" t="str">
            <v>SET BACK</v>
          </cell>
          <cell r="D3" t="str">
            <v>HEIGHT</v>
          </cell>
        </row>
        <row r="4">
          <cell r="B4" t="str">
            <v>3 TO 1</v>
          </cell>
          <cell r="C4" t="str">
            <v>35'-0"</v>
          </cell>
          <cell r="D4" t="str">
            <v>8'-0"</v>
          </cell>
        </row>
        <row r="5">
          <cell r="B5" t="str">
            <v>4 TO 1</v>
          </cell>
          <cell r="C5" t="str">
            <v>35'-0"</v>
          </cell>
          <cell r="D5" t="str">
            <v>5'-0"</v>
          </cell>
        </row>
        <row r="6">
          <cell r="B6" t="str">
            <v>5 TO 1</v>
          </cell>
          <cell r="C6" t="str">
            <v>44'-0"</v>
          </cell>
          <cell r="D6" t="str">
            <v>4'-0"</v>
          </cell>
        </row>
        <row r="7">
          <cell r="B7" t="str">
            <v>6 TO 1</v>
          </cell>
          <cell r="C7" t="str">
            <v>48'-0"</v>
          </cell>
          <cell r="D7" t="str">
            <v>4'-0"</v>
          </cell>
        </row>
      </sheetData>
      <sheetData sheetId="3"/>
      <sheetData sheetId="4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ertical_Format"/>
      <sheetName val="Horizontal_Forment"/>
      <sheetName val="First_Row_Placement"/>
      <sheetName val="First_Row_Height"/>
      <sheetName val="Sheet1"/>
    </sheetNames>
    <sheetDataSet>
      <sheetData sheetId="0"/>
      <sheetData sheetId="1">
        <row r="11">
          <cell r="D11" t="str">
            <v>DISTANCE BETWEEN SECOND ROW AND FINAL ROW IN NEAR FLAT CONDITIONS - IN FEET</v>
          </cell>
        </row>
        <row r="12">
          <cell r="D12">
            <v>79.933322219576056</v>
          </cell>
          <cell r="E12">
            <v>99.916652774470066</v>
          </cell>
          <cell r="F12">
            <v>119.89998332936408</v>
          </cell>
          <cell r="G12">
            <v>139.88331388425809</v>
          </cell>
          <cell r="H12">
            <v>159.86664443915211</v>
          </cell>
          <cell r="I12">
            <v>179.84997499404611</v>
          </cell>
          <cell r="J12">
            <v>199.83330554894013</v>
          </cell>
          <cell r="K12">
            <v>219.81663610383416</v>
          </cell>
          <cell r="L12">
            <v>239.79996665872815</v>
          </cell>
          <cell r="M12">
            <v>259.78329721362218</v>
          </cell>
          <cell r="N12">
            <v>279.76662776851617</v>
          </cell>
          <cell r="O12">
            <v>299.74995832341023</v>
          </cell>
          <cell r="P12">
            <v>319.73328887830422</v>
          </cell>
          <cell r="Q12">
            <v>339.71661943319822</v>
          </cell>
          <cell r="R12">
            <v>359.69994998809221</v>
          </cell>
          <cell r="S12">
            <v>379.68328054298627</v>
          </cell>
          <cell r="T12">
            <v>399.66661109788026</v>
          </cell>
          <cell r="U12">
            <v>419.64994165277426</v>
          </cell>
          <cell r="V12">
            <v>439.63327220766831</v>
          </cell>
          <cell r="W12">
            <v>459.61660276256231</v>
          </cell>
          <cell r="X12">
            <v>479.5999333174563</v>
          </cell>
          <cell r="Y12">
            <v>499.58326387235036</v>
          </cell>
        </row>
      </sheetData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A83"/>
  <sheetViews>
    <sheetView showGridLines="0" tabSelected="1" workbookViewId="0">
      <pane ySplit="2" topLeftCell="A3" activePane="bottomLeft" state="frozen"/>
      <selection pane="bottomLeft" activeCell="Z65" sqref="Z65"/>
    </sheetView>
  </sheetViews>
  <sheetFormatPr defaultRowHeight="15" x14ac:dyDescent="0.25"/>
  <cols>
    <col min="1" max="1" width="10.85546875" customWidth="1"/>
    <col min="2" max="2" width="3.42578125" customWidth="1"/>
    <col min="3" max="17" width="4.7109375" customWidth="1"/>
    <col min="18" max="18" width="6.7109375" customWidth="1"/>
    <col min="19" max="27" width="4.7109375" customWidth="1"/>
    <col min="28" max="28" width="3.7109375" customWidth="1"/>
  </cols>
  <sheetData>
    <row r="1" spans="1:28" ht="20.100000000000001" customHeight="1" thickTop="1" x14ac:dyDescent="0.25">
      <c r="A1" s="201" t="str">
        <f>CONCATENATE("Finding Setbacks for Multiple Parallel Fences on Steep Slopes for Project ",Q7)</f>
        <v xml:space="preserve">Finding Setbacks for Multiple Parallel Fences on Steep Slopes for Project </v>
      </c>
      <c r="B1" s="202"/>
      <c r="C1" s="202"/>
      <c r="D1" s="202"/>
      <c r="E1" s="202"/>
      <c r="F1" s="202"/>
      <c r="G1" s="202"/>
      <c r="H1" s="202"/>
      <c r="I1" s="202"/>
      <c r="J1" s="202"/>
      <c r="K1" s="202"/>
      <c r="L1" s="202"/>
      <c r="M1" s="202"/>
      <c r="N1" s="202"/>
      <c r="O1" s="202"/>
      <c r="P1" s="202"/>
      <c r="Q1" s="202"/>
      <c r="R1" s="202"/>
      <c r="S1" s="202"/>
      <c r="T1" s="202"/>
      <c r="U1" s="202"/>
      <c r="V1" s="202"/>
      <c r="W1" s="202"/>
      <c r="X1" s="202"/>
      <c r="Y1" s="202"/>
      <c r="Z1" s="202"/>
      <c r="AA1" s="202"/>
      <c r="AB1" s="203"/>
    </row>
    <row r="2" spans="1:28" s="14" customFormat="1" ht="20.100000000000001" customHeight="1" thickBot="1" x14ac:dyDescent="0.3">
      <c r="A2" s="204"/>
      <c r="B2" s="205"/>
      <c r="C2" s="205"/>
      <c r="D2" s="205"/>
      <c r="E2" s="205"/>
      <c r="F2" s="205"/>
      <c r="G2" s="205"/>
      <c r="H2" s="205"/>
      <c r="I2" s="205"/>
      <c r="J2" s="205"/>
      <c r="K2" s="205"/>
      <c r="L2" s="205"/>
      <c r="M2" s="205"/>
      <c r="N2" s="205"/>
      <c r="O2" s="205"/>
      <c r="P2" s="205"/>
      <c r="Q2" s="205"/>
      <c r="R2" s="205"/>
      <c r="S2" s="205"/>
      <c r="T2" s="205"/>
      <c r="U2" s="205"/>
      <c r="V2" s="205"/>
      <c r="W2" s="205"/>
      <c r="X2" s="205"/>
      <c r="Y2" s="205"/>
      <c r="Z2" s="205"/>
      <c r="AA2" s="205"/>
      <c r="AB2" s="206"/>
    </row>
    <row r="3" spans="1:28" s="143" customFormat="1" ht="20.100000000000001" customHeight="1" thickTop="1" x14ac:dyDescent="0.25">
      <c r="A3" s="248" t="s">
        <v>26</v>
      </c>
      <c r="B3" s="176"/>
      <c r="C3" s="142"/>
      <c r="D3" s="142"/>
      <c r="E3" s="142"/>
      <c r="F3" s="142"/>
      <c r="G3" s="142"/>
      <c r="H3" s="142"/>
      <c r="I3" s="142"/>
      <c r="J3" s="142"/>
      <c r="K3" s="142"/>
      <c r="L3" s="142"/>
      <c r="M3" s="142"/>
      <c r="N3" s="142"/>
      <c r="O3" s="142"/>
      <c r="P3" s="142"/>
      <c r="Q3" s="142"/>
      <c r="R3" s="142"/>
      <c r="S3" s="142"/>
      <c r="T3" s="142"/>
      <c r="U3" s="142"/>
      <c r="V3" s="142"/>
      <c r="W3" s="142"/>
      <c r="X3" s="142"/>
      <c r="Y3" s="142"/>
      <c r="Z3" s="142"/>
      <c r="AA3" s="157"/>
      <c r="AB3" s="158"/>
    </row>
    <row r="4" spans="1:28" s="143" customFormat="1" ht="16.5" customHeight="1" x14ac:dyDescent="0.25">
      <c r="A4" s="249"/>
      <c r="B4" s="176"/>
      <c r="C4" s="144" t="s">
        <v>127</v>
      </c>
      <c r="D4" s="142"/>
      <c r="E4" s="142"/>
      <c r="F4" s="142"/>
      <c r="G4" s="142"/>
      <c r="H4" s="142"/>
      <c r="I4" s="142"/>
      <c r="J4" s="142"/>
      <c r="K4" s="142"/>
      <c r="L4" s="142"/>
      <c r="M4" s="142"/>
      <c r="N4" s="142"/>
      <c r="O4" s="142"/>
      <c r="P4" s="142"/>
      <c r="Q4" s="142"/>
      <c r="R4" s="142"/>
      <c r="S4" s="142"/>
      <c r="T4" s="142"/>
      <c r="U4" s="142"/>
      <c r="V4" s="142"/>
      <c r="W4" s="142"/>
      <c r="X4" s="142"/>
      <c r="Y4" s="142"/>
      <c r="Z4" s="142"/>
      <c r="AA4" s="151"/>
      <c r="AB4" s="159"/>
    </row>
    <row r="5" spans="1:28" s="143" customFormat="1" ht="16.5" customHeight="1" thickBot="1" x14ac:dyDescent="0.3">
      <c r="A5" s="249"/>
      <c r="B5" s="176"/>
      <c r="C5" s="145" t="s">
        <v>26</v>
      </c>
      <c r="D5" s="142"/>
      <c r="E5" s="142"/>
      <c r="F5" s="142"/>
      <c r="G5" s="142"/>
      <c r="H5" s="142"/>
      <c r="I5" s="142"/>
      <c r="J5" s="142"/>
      <c r="K5" s="142"/>
      <c r="L5" s="142"/>
      <c r="M5" s="142"/>
      <c r="N5" s="142"/>
      <c r="O5" s="142"/>
      <c r="P5" s="142"/>
      <c r="Q5" s="142"/>
      <c r="R5" s="142"/>
      <c r="S5" s="142"/>
      <c r="T5" s="142"/>
      <c r="U5" s="142"/>
      <c r="V5" s="142"/>
      <c r="W5" s="142"/>
      <c r="X5" s="142"/>
      <c r="Y5" s="142"/>
      <c r="Z5" s="142"/>
      <c r="AA5" s="151"/>
      <c r="AB5" s="159"/>
    </row>
    <row r="6" spans="1:28" s="148" customFormat="1" ht="15" customHeight="1" thickBot="1" x14ac:dyDescent="0.3">
      <c r="A6" s="249"/>
      <c r="B6" s="176"/>
      <c r="C6" s="146"/>
      <c r="D6" s="247" t="s">
        <v>128</v>
      </c>
      <c r="E6" s="247"/>
      <c r="F6" s="247"/>
      <c r="G6" s="247"/>
      <c r="H6" s="247"/>
      <c r="I6" s="247"/>
      <c r="J6" s="247"/>
      <c r="K6" s="247"/>
      <c r="L6" s="247"/>
      <c r="M6" s="247"/>
      <c r="N6" s="247"/>
      <c r="O6" s="247"/>
      <c r="P6" s="147" t="s">
        <v>86</v>
      </c>
      <c r="Q6" s="251"/>
      <c r="R6" s="252"/>
      <c r="S6" s="252"/>
      <c r="T6" s="252"/>
      <c r="U6" s="252"/>
      <c r="V6" s="252"/>
      <c r="W6" s="252"/>
      <c r="X6" s="252"/>
      <c r="Y6" s="253"/>
      <c r="Z6" s="149"/>
      <c r="AA6" s="151"/>
      <c r="AB6" s="159"/>
    </row>
    <row r="7" spans="1:28" s="148" customFormat="1" ht="15.75" thickBot="1" x14ac:dyDescent="0.3">
      <c r="A7" s="249"/>
      <c r="B7" s="176"/>
      <c r="C7" s="149"/>
      <c r="D7" s="247" t="s">
        <v>27</v>
      </c>
      <c r="E7" s="247"/>
      <c r="F7" s="247"/>
      <c r="G7" s="247"/>
      <c r="H7" s="247"/>
      <c r="I7" s="247"/>
      <c r="J7" s="247"/>
      <c r="K7" s="247"/>
      <c r="L7" s="247"/>
      <c r="M7" s="247"/>
      <c r="N7" s="247"/>
      <c r="O7" s="247"/>
      <c r="P7" s="147" t="s">
        <v>86</v>
      </c>
      <c r="Q7" s="254"/>
      <c r="R7" s="255"/>
      <c r="S7" s="256"/>
      <c r="T7" s="150"/>
      <c r="U7" s="150"/>
      <c r="V7" s="150"/>
      <c r="W7" s="150"/>
      <c r="X7" s="150"/>
      <c r="Y7" s="150"/>
      <c r="Z7" s="149"/>
      <c r="AA7" s="151"/>
      <c r="AB7" s="159"/>
    </row>
    <row r="8" spans="1:28" s="148" customFormat="1" ht="15.75" thickBot="1" x14ac:dyDescent="0.3">
      <c r="A8" s="249"/>
      <c r="B8" s="176"/>
      <c r="C8" s="149"/>
      <c r="D8" s="247" t="s">
        <v>129</v>
      </c>
      <c r="E8" s="247"/>
      <c r="F8" s="247"/>
      <c r="G8" s="247"/>
      <c r="H8" s="247"/>
      <c r="I8" s="247"/>
      <c r="J8" s="247"/>
      <c r="K8" s="247"/>
      <c r="L8" s="247"/>
      <c r="M8" s="247"/>
      <c r="N8" s="247"/>
      <c r="O8" s="247"/>
      <c r="P8" s="147" t="s">
        <v>86</v>
      </c>
      <c r="Q8" s="217">
        <v>12</v>
      </c>
      <c r="R8" s="218"/>
      <c r="S8" s="219"/>
      <c r="T8" s="150" t="s">
        <v>21</v>
      </c>
      <c r="U8" s="150"/>
      <c r="V8" s="150"/>
      <c r="W8" s="150"/>
      <c r="X8" s="150"/>
      <c r="Y8" s="150"/>
      <c r="Z8" s="149"/>
      <c r="AA8" s="151"/>
      <c r="AB8" s="159"/>
    </row>
    <row r="9" spans="1:28" s="148" customFormat="1" ht="15.75" thickBot="1" x14ac:dyDescent="0.3">
      <c r="A9" s="249"/>
      <c r="B9" s="176"/>
      <c r="C9" s="149"/>
      <c r="D9" s="247" t="s">
        <v>130</v>
      </c>
      <c r="E9" s="247"/>
      <c r="F9" s="247"/>
      <c r="G9" s="247"/>
      <c r="H9" s="247"/>
      <c r="I9" s="247"/>
      <c r="J9" s="247"/>
      <c r="K9" s="247"/>
      <c r="L9" s="247"/>
      <c r="M9" s="247"/>
      <c r="N9" s="247"/>
      <c r="O9" s="247"/>
      <c r="P9" s="147" t="s">
        <v>86</v>
      </c>
      <c r="Q9" s="217">
        <v>6</v>
      </c>
      <c r="R9" s="218"/>
      <c r="S9" s="219"/>
      <c r="T9" s="150" t="s">
        <v>21</v>
      </c>
      <c r="U9" s="150"/>
      <c r="V9" s="150"/>
      <c r="W9" s="150"/>
      <c r="X9" s="150"/>
      <c r="Y9" s="150"/>
      <c r="Z9" s="149"/>
      <c r="AA9" s="151"/>
      <c r="AB9" s="159"/>
    </row>
    <row r="10" spans="1:28" s="148" customFormat="1" ht="15.75" thickBot="1" x14ac:dyDescent="0.3">
      <c r="A10" s="249"/>
      <c r="B10" s="176"/>
      <c r="C10" s="149"/>
      <c r="D10" s="247" t="s">
        <v>131</v>
      </c>
      <c r="E10" s="247"/>
      <c r="F10" s="247"/>
      <c r="G10" s="247"/>
      <c r="H10" s="247"/>
      <c r="I10" s="247"/>
      <c r="J10" s="247"/>
      <c r="K10" s="247"/>
      <c r="L10" s="247"/>
      <c r="M10" s="247"/>
      <c r="N10" s="247"/>
      <c r="O10" s="247"/>
      <c r="P10" s="147" t="s">
        <v>86</v>
      </c>
      <c r="Q10" s="217">
        <v>1.5</v>
      </c>
      <c r="R10" s="218"/>
      <c r="S10" s="219"/>
      <c r="T10" s="150" t="s">
        <v>21</v>
      </c>
      <c r="U10" s="150"/>
      <c r="V10" s="150"/>
      <c r="W10" s="150"/>
      <c r="X10" s="150"/>
      <c r="Y10" s="150"/>
      <c r="Z10" s="149"/>
      <c r="AA10" s="151"/>
      <c r="AB10" s="159"/>
    </row>
    <row r="11" spans="1:28" s="148" customFormat="1" x14ac:dyDescent="0.25">
      <c r="A11" s="249"/>
      <c r="B11" s="176"/>
      <c r="C11" s="149"/>
      <c r="D11" s="151"/>
      <c r="E11" s="151"/>
      <c r="F11" s="149"/>
      <c r="G11" s="149"/>
      <c r="H11" s="149"/>
      <c r="I11" s="149"/>
      <c r="J11" s="149"/>
      <c r="K11" s="149"/>
      <c r="L11" s="149"/>
      <c r="M11" s="149"/>
      <c r="N11" s="149"/>
      <c r="O11" s="149"/>
      <c r="P11" s="147"/>
      <c r="Q11" s="152"/>
      <c r="R11" s="152"/>
      <c r="S11" s="152"/>
      <c r="T11" s="150"/>
      <c r="U11" s="150"/>
      <c r="V11" s="150"/>
      <c r="W11" s="150"/>
      <c r="X11" s="150"/>
      <c r="Y11" s="150"/>
      <c r="Z11" s="149"/>
      <c r="AA11" s="151"/>
      <c r="AB11" s="159"/>
    </row>
    <row r="12" spans="1:28" ht="15.75" x14ac:dyDescent="0.25">
      <c r="A12" s="249"/>
      <c r="B12" s="176"/>
      <c r="C12" s="48" t="s">
        <v>132</v>
      </c>
      <c r="D12" s="46"/>
      <c r="E12" s="46"/>
      <c r="F12" s="46"/>
      <c r="G12" s="46"/>
      <c r="H12" s="46"/>
      <c r="I12" s="46"/>
      <c r="J12" s="46"/>
      <c r="K12" s="46"/>
      <c r="L12" s="46"/>
      <c r="M12" s="46"/>
      <c r="N12" s="46"/>
      <c r="O12" s="46"/>
      <c r="P12" s="46"/>
      <c r="Q12" s="46"/>
      <c r="R12" s="46"/>
      <c r="S12" s="46"/>
      <c r="T12" s="46"/>
      <c r="U12" s="46"/>
      <c r="V12" s="46"/>
      <c r="W12" s="46"/>
      <c r="X12" s="46"/>
      <c r="Y12" s="46"/>
      <c r="Z12" s="46"/>
      <c r="AA12" s="46"/>
      <c r="AB12" s="47"/>
    </row>
    <row r="13" spans="1:28" s="148" customFormat="1" ht="15.75" thickBot="1" x14ac:dyDescent="0.3">
      <c r="A13" s="249"/>
      <c r="B13" s="176"/>
      <c r="C13" s="145" t="s">
        <v>141</v>
      </c>
      <c r="D13" s="149"/>
      <c r="E13" s="149"/>
      <c r="F13" s="149"/>
      <c r="G13" s="149"/>
      <c r="H13" s="149"/>
      <c r="I13" s="149"/>
      <c r="J13" s="149"/>
      <c r="K13" s="149"/>
      <c r="L13" s="149"/>
      <c r="M13" s="149"/>
      <c r="N13" s="149"/>
      <c r="O13" s="153"/>
      <c r="P13" s="149"/>
      <c r="Q13" s="150"/>
      <c r="R13" s="150"/>
      <c r="S13" s="150"/>
      <c r="T13" s="150"/>
      <c r="U13" s="150"/>
      <c r="V13" s="150"/>
      <c r="W13" s="150"/>
      <c r="X13" s="150"/>
      <c r="Y13" s="150"/>
      <c r="Z13" s="149"/>
      <c r="AA13" s="151"/>
      <c r="AB13" s="159"/>
    </row>
    <row r="14" spans="1:28" ht="15.75" thickBot="1" x14ac:dyDescent="0.3">
      <c r="A14" s="249"/>
      <c r="B14" s="176"/>
      <c r="C14" s="46"/>
      <c r="D14" s="216" t="s">
        <v>85</v>
      </c>
      <c r="E14" s="216"/>
      <c r="F14" s="216"/>
      <c r="G14" s="216"/>
      <c r="H14" s="216"/>
      <c r="I14" s="216"/>
      <c r="J14" s="216"/>
      <c r="K14" s="216"/>
      <c r="L14" s="216"/>
      <c r="M14" s="216"/>
      <c r="N14" s="216"/>
      <c r="O14" s="216"/>
      <c r="P14" s="51" t="s">
        <v>86</v>
      </c>
      <c r="Q14" s="217">
        <v>2.4300000000000002</v>
      </c>
      <c r="R14" s="218"/>
      <c r="S14" s="219"/>
      <c r="T14" s="46" t="s">
        <v>21</v>
      </c>
      <c r="U14" s="46"/>
      <c r="V14" s="46"/>
      <c r="W14" s="46"/>
      <c r="X14" s="46"/>
      <c r="Y14" s="46"/>
      <c r="Z14" s="46"/>
      <c r="AA14" s="46"/>
      <c r="AB14" s="47"/>
    </row>
    <row r="15" spans="1:28" ht="15.75" thickBot="1" x14ac:dyDescent="0.3">
      <c r="A15" s="249"/>
      <c r="B15" s="176"/>
      <c r="C15" s="216" t="s">
        <v>87</v>
      </c>
      <c r="D15" s="216"/>
      <c r="E15" s="216"/>
      <c r="F15" s="216"/>
      <c r="G15" s="216"/>
      <c r="H15" s="216"/>
      <c r="I15" s="216"/>
      <c r="J15" s="216"/>
      <c r="K15" s="216"/>
      <c r="L15" s="216"/>
      <c r="M15" s="216"/>
      <c r="N15" s="216"/>
      <c r="O15" s="216"/>
      <c r="P15" s="51" t="s">
        <v>86</v>
      </c>
      <c r="Q15" s="263">
        <v>9.4E-2</v>
      </c>
      <c r="R15" s="264"/>
      <c r="S15" s="265"/>
      <c r="T15" s="46" t="s">
        <v>115</v>
      </c>
      <c r="U15" s="46"/>
      <c r="V15" s="46"/>
      <c r="W15" s="150"/>
      <c r="X15" s="150"/>
      <c r="Y15" s="150"/>
      <c r="Z15" s="150"/>
      <c r="AA15" s="149"/>
      <c r="AB15" s="47"/>
    </row>
    <row r="16" spans="1:28" ht="15.75" thickBot="1" x14ac:dyDescent="0.3">
      <c r="A16" s="249"/>
      <c r="B16" s="176"/>
      <c r="C16" s="237" t="s">
        <v>88</v>
      </c>
      <c r="D16" s="237"/>
      <c r="E16" s="237"/>
      <c r="F16" s="237"/>
      <c r="G16" s="237"/>
      <c r="H16" s="237"/>
      <c r="I16" s="237"/>
      <c r="J16" s="237"/>
      <c r="K16" s="237"/>
      <c r="L16" s="237"/>
      <c r="M16" s="237"/>
      <c r="N16" s="237"/>
      <c r="O16" s="237"/>
      <c r="P16" s="51" t="s">
        <v>86</v>
      </c>
      <c r="Q16" s="266">
        <v>0.57999999999999996</v>
      </c>
      <c r="R16" s="267"/>
      <c r="S16" s="268"/>
      <c r="T16" s="46" t="s">
        <v>115</v>
      </c>
      <c r="U16" s="46"/>
      <c r="V16" s="46"/>
      <c r="W16" s="150"/>
      <c r="X16" s="161"/>
      <c r="Y16" s="162"/>
      <c r="Z16" s="163"/>
      <c r="AA16" s="149"/>
      <c r="AB16" s="47"/>
    </row>
    <row r="17" spans="1:28" ht="15.75" thickBot="1" x14ac:dyDescent="0.3">
      <c r="A17" s="249"/>
      <c r="B17" s="176"/>
      <c r="C17" s="237" t="s">
        <v>89</v>
      </c>
      <c r="D17" s="237"/>
      <c r="E17" s="237"/>
      <c r="F17" s="237"/>
      <c r="G17" s="237"/>
      <c r="H17" s="237"/>
      <c r="I17" s="237"/>
      <c r="J17" s="237"/>
      <c r="K17" s="237"/>
      <c r="L17" s="237"/>
      <c r="M17" s="237"/>
      <c r="N17" s="237"/>
      <c r="O17" s="237"/>
      <c r="P17" s="51" t="s">
        <v>86</v>
      </c>
      <c r="Q17" s="269">
        <v>320</v>
      </c>
      <c r="R17" s="270"/>
      <c r="S17" s="271"/>
      <c r="T17" s="46" t="s">
        <v>116</v>
      </c>
      <c r="U17" s="46"/>
      <c r="V17" s="46"/>
      <c r="W17" s="150"/>
      <c r="X17" s="164"/>
      <c r="Y17" s="165"/>
      <c r="Z17" s="166"/>
      <c r="AA17" s="149"/>
      <c r="AB17" s="47"/>
    </row>
    <row r="18" spans="1:28" ht="15.75" thickBot="1" x14ac:dyDescent="0.3">
      <c r="A18" s="249"/>
      <c r="B18" s="176"/>
      <c r="C18" s="237" t="s">
        <v>114</v>
      </c>
      <c r="D18" s="237"/>
      <c r="E18" s="237"/>
      <c r="F18" s="237"/>
      <c r="G18" s="237"/>
      <c r="H18" s="237"/>
      <c r="I18" s="237"/>
      <c r="J18" s="237"/>
      <c r="K18" s="237"/>
      <c r="L18" s="237"/>
      <c r="M18" s="237"/>
      <c r="N18" s="237"/>
      <c r="O18" s="237"/>
      <c r="P18" s="51" t="s">
        <v>86</v>
      </c>
      <c r="Q18" s="269">
        <v>10000</v>
      </c>
      <c r="R18" s="270"/>
      <c r="S18" s="271"/>
      <c r="T18" s="46" t="s">
        <v>21</v>
      </c>
      <c r="U18" s="46"/>
      <c r="V18" s="46"/>
      <c r="W18" s="150"/>
      <c r="X18" s="167"/>
      <c r="Y18" s="168"/>
      <c r="Z18" s="169"/>
      <c r="AA18" s="149"/>
      <c r="AB18" s="47"/>
    </row>
    <row r="19" spans="1:28" ht="15.75" thickBot="1" x14ac:dyDescent="0.3">
      <c r="A19" s="249"/>
      <c r="B19" s="176"/>
      <c r="C19" s="237" t="s">
        <v>92</v>
      </c>
      <c r="D19" s="237"/>
      <c r="E19" s="237"/>
      <c r="F19" s="237"/>
      <c r="G19" s="237"/>
      <c r="H19" s="237"/>
      <c r="I19" s="237"/>
      <c r="J19" s="237"/>
      <c r="K19" s="237"/>
      <c r="L19" s="237"/>
      <c r="M19" s="237"/>
      <c r="N19" s="237"/>
      <c r="O19" s="237"/>
      <c r="P19" s="51" t="s">
        <v>86</v>
      </c>
      <c r="Q19" s="266">
        <v>7.52</v>
      </c>
      <c r="R19" s="267"/>
      <c r="S19" s="268"/>
      <c r="T19" s="46" t="s">
        <v>90</v>
      </c>
      <c r="U19" s="46"/>
      <c r="V19" s="46"/>
      <c r="W19" s="150"/>
      <c r="X19" s="257" t="s">
        <v>143</v>
      </c>
      <c r="Y19" s="258"/>
      <c r="Z19" s="259"/>
      <c r="AA19" s="149"/>
      <c r="AB19" s="47"/>
    </row>
    <row r="20" spans="1:28" ht="15.75" thickBot="1" x14ac:dyDescent="0.3">
      <c r="A20" s="249"/>
      <c r="B20" s="176"/>
      <c r="C20" s="46"/>
      <c r="D20" s="216" t="s">
        <v>91</v>
      </c>
      <c r="E20" s="216"/>
      <c r="F20" s="216"/>
      <c r="G20" s="216"/>
      <c r="H20" s="216"/>
      <c r="I20" s="216"/>
      <c r="J20" s="216"/>
      <c r="K20" s="216"/>
      <c r="L20" s="216"/>
      <c r="M20" s="216"/>
      <c r="N20" s="216"/>
      <c r="O20" s="216"/>
      <c r="P20" s="51" t="s">
        <v>86</v>
      </c>
      <c r="Q20" s="217">
        <v>0.5</v>
      </c>
      <c r="R20" s="218"/>
      <c r="S20" s="219"/>
      <c r="T20" s="46" t="s">
        <v>115</v>
      </c>
      <c r="U20" s="46"/>
      <c r="V20" s="46"/>
      <c r="W20" s="150"/>
      <c r="X20" s="260"/>
      <c r="Y20" s="261"/>
      <c r="Z20" s="262"/>
      <c r="AA20" s="149"/>
      <c r="AB20" s="47"/>
    </row>
    <row r="21" spans="1:28" ht="15.75" thickBot="1" x14ac:dyDescent="0.3">
      <c r="A21" s="249"/>
      <c r="B21" s="176"/>
      <c r="C21" s="46"/>
      <c r="D21" s="216" t="s">
        <v>93</v>
      </c>
      <c r="E21" s="216"/>
      <c r="F21" s="216"/>
      <c r="G21" s="216"/>
      <c r="H21" s="216"/>
      <c r="I21" s="216"/>
      <c r="J21" s="216"/>
      <c r="K21" s="216"/>
      <c r="L21" s="216"/>
      <c r="M21" s="216"/>
      <c r="N21" s="216"/>
      <c r="O21" s="216"/>
      <c r="P21" s="51" t="s">
        <v>86</v>
      </c>
      <c r="Q21" s="217">
        <v>5.0999999999999996</v>
      </c>
      <c r="R21" s="218"/>
      <c r="S21" s="219"/>
      <c r="T21" s="46" t="s">
        <v>21</v>
      </c>
      <c r="U21" s="46"/>
      <c r="V21" s="46"/>
      <c r="W21" s="150"/>
      <c r="X21" s="150"/>
      <c r="Y21" s="150"/>
      <c r="Z21" s="150"/>
      <c r="AA21" s="149"/>
      <c r="AB21" s="47"/>
    </row>
    <row r="22" spans="1:28" ht="15.75" thickBot="1" x14ac:dyDescent="0.3">
      <c r="A22" s="249"/>
      <c r="B22" s="176"/>
      <c r="C22" s="46"/>
      <c r="D22" s="216" t="s">
        <v>8</v>
      </c>
      <c r="E22" s="216"/>
      <c r="F22" s="216"/>
      <c r="G22" s="216"/>
      <c r="H22" s="216"/>
      <c r="I22" s="216"/>
      <c r="J22" s="216"/>
      <c r="K22" s="216"/>
      <c r="L22" s="216"/>
      <c r="M22" s="216"/>
      <c r="N22" s="216"/>
      <c r="O22" s="216"/>
      <c r="P22" s="51" t="s">
        <v>86</v>
      </c>
      <c r="Q22" s="217">
        <v>90</v>
      </c>
      <c r="R22" s="218"/>
      <c r="S22" s="219"/>
      <c r="T22" s="46" t="s">
        <v>116</v>
      </c>
      <c r="U22" s="46"/>
      <c r="V22" s="46"/>
      <c r="W22" s="150"/>
      <c r="X22" s="170"/>
      <c r="Y22" s="150"/>
      <c r="Z22" s="150"/>
      <c r="AA22" s="149"/>
      <c r="AB22" s="47"/>
    </row>
    <row r="23" spans="1:28" s="148" customFormat="1" ht="15.75" x14ac:dyDescent="0.25">
      <c r="A23" s="249"/>
      <c r="B23" s="185"/>
      <c r="C23" s="160" t="s">
        <v>156</v>
      </c>
      <c r="D23" s="149"/>
      <c r="E23" s="149"/>
      <c r="F23" s="149"/>
      <c r="G23" s="149"/>
      <c r="H23" s="149"/>
      <c r="I23" s="149"/>
      <c r="J23" s="149"/>
      <c r="K23" s="149"/>
      <c r="L23" s="149"/>
      <c r="M23" s="149"/>
      <c r="N23" s="149"/>
      <c r="O23" s="149"/>
      <c r="P23" s="149"/>
      <c r="Q23" s="150"/>
      <c r="R23" s="150"/>
      <c r="S23" s="150"/>
      <c r="T23" s="150"/>
      <c r="U23" s="150"/>
      <c r="V23" s="150"/>
      <c r="W23" s="150"/>
      <c r="X23" s="150"/>
      <c r="Y23" s="150"/>
      <c r="Z23" s="149"/>
      <c r="AA23" s="151"/>
      <c r="AB23" s="159"/>
    </row>
    <row r="24" spans="1:28" x14ac:dyDescent="0.25">
      <c r="A24" s="249"/>
      <c r="B24" s="185"/>
      <c r="C24" s="238" t="s">
        <v>144</v>
      </c>
      <c r="D24" s="238"/>
      <c r="E24" s="238"/>
      <c r="F24" s="238"/>
      <c r="G24" s="238"/>
      <c r="H24" s="238"/>
      <c r="I24" s="238"/>
      <c r="J24" s="238"/>
      <c r="K24" s="238"/>
      <c r="L24" s="238"/>
      <c r="M24" s="238"/>
      <c r="N24" s="238"/>
      <c r="O24" s="238"/>
      <c r="P24" s="46"/>
      <c r="Q24" s="46"/>
      <c r="R24" s="46"/>
      <c r="S24" s="46"/>
      <c r="T24" s="46"/>
      <c r="U24" s="46"/>
      <c r="V24" s="46"/>
      <c r="W24" s="46"/>
      <c r="X24" s="46"/>
      <c r="Y24" s="46"/>
      <c r="Z24" s="46"/>
      <c r="AA24" s="46"/>
      <c r="AB24" s="47"/>
    </row>
    <row r="25" spans="1:28" ht="15.75" thickBot="1" x14ac:dyDescent="0.3">
      <c r="A25" s="249"/>
      <c r="B25" s="185"/>
      <c r="C25" s="239" t="s">
        <v>155</v>
      </c>
      <c r="D25" s="239"/>
      <c r="E25" s="239"/>
      <c r="F25" s="239"/>
      <c r="G25" s="239"/>
      <c r="H25" s="239"/>
      <c r="I25" s="239"/>
      <c r="J25" s="239"/>
      <c r="K25" s="239"/>
      <c r="L25" s="239"/>
      <c r="M25" s="239"/>
      <c r="N25" s="239"/>
      <c r="O25" s="239"/>
      <c r="P25" s="46"/>
      <c r="Q25" s="46"/>
      <c r="R25" s="46"/>
      <c r="S25" s="46"/>
      <c r="T25" s="46"/>
      <c r="U25" s="46"/>
      <c r="V25" s="46"/>
      <c r="W25" s="46"/>
      <c r="X25" s="46"/>
      <c r="Y25" s="46"/>
      <c r="Z25" s="46"/>
      <c r="AA25" s="46"/>
      <c r="AB25" s="47"/>
    </row>
    <row r="26" spans="1:28" ht="15.75" thickBot="1" x14ac:dyDescent="0.3">
      <c r="A26" s="249"/>
      <c r="B26" s="176"/>
      <c r="C26" s="216" t="s">
        <v>94</v>
      </c>
      <c r="D26" s="216"/>
      <c r="E26" s="216"/>
      <c r="F26" s="216"/>
      <c r="G26" s="216"/>
      <c r="H26" s="216"/>
      <c r="I26" s="216"/>
      <c r="J26" s="216"/>
      <c r="K26" s="216"/>
      <c r="L26" s="216"/>
      <c r="M26" s="216"/>
      <c r="N26" s="216"/>
      <c r="O26" s="216"/>
      <c r="P26" s="51" t="s">
        <v>86</v>
      </c>
      <c r="Q26" s="217">
        <v>7</v>
      </c>
      <c r="R26" s="218"/>
      <c r="S26" s="219"/>
      <c r="T26" s="46" t="s">
        <v>21</v>
      </c>
      <c r="U26" s="46"/>
      <c r="V26" s="46"/>
      <c r="W26" s="46"/>
      <c r="X26" s="46"/>
      <c r="Y26" s="46"/>
      <c r="Z26" s="46"/>
      <c r="AA26" s="46"/>
      <c r="AB26" s="47"/>
    </row>
    <row r="27" spans="1:28" ht="15.75" thickBot="1" x14ac:dyDescent="0.3">
      <c r="A27" s="249"/>
      <c r="B27" s="176"/>
      <c r="C27" s="216" t="s">
        <v>95</v>
      </c>
      <c r="D27" s="216"/>
      <c r="E27" s="216"/>
      <c r="F27" s="216"/>
      <c r="G27" s="216"/>
      <c r="H27" s="216"/>
      <c r="I27" s="216"/>
      <c r="J27" s="216"/>
      <c r="K27" s="216"/>
      <c r="L27" s="216"/>
      <c r="M27" s="216"/>
      <c r="N27" s="216"/>
      <c r="O27" s="216"/>
      <c r="P27" s="51" t="s">
        <v>86</v>
      </c>
      <c r="Q27" s="217">
        <v>0.5</v>
      </c>
      <c r="R27" s="218"/>
      <c r="S27" s="219"/>
      <c r="T27" s="46" t="s">
        <v>115</v>
      </c>
      <c r="U27" s="46"/>
      <c r="V27" s="46"/>
      <c r="W27" s="46"/>
      <c r="X27" s="46"/>
      <c r="Y27" s="46"/>
      <c r="Z27" s="46"/>
      <c r="AA27" s="46"/>
      <c r="AB27" s="47"/>
    </row>
    <row r="28" spans="1:28" ht="15.75" thickBot="1" x14ac:dyDescent="0.3">
      <c r="A28" s="249"/>
      <c r="B28" s="176"/>
      <c r="C28" s="58"/>
      <c r="D28" s="58"/>
      <c r="E28" s="58"/>
      <c r="F28" s="58"/>
      <c r="G28" s="58"/>
      <c r="H28" s="58"/>
      <c r="I28" s="58"/>
      <c r="J28" s="58"/>
      <c r="K28" s="58"/>
      <c r="L28" s="58"/>
      <c r="M28" s="58"/>
      <c r="N28" s="58"/>
      <c r="O28" s="58"/>
      <c r="P28" s="46"/>
      <c r="Q28" s="51"/>
      <c r="R28" s="51"/>
      <c r="S28" s="51"/>
      <c r="T28" s="46"/>
      <c r="U28" s="46"/>
      <c r="V28" s="46"/>
      <c r="W28" s="46"/>
      <c r="X28" s="46"/>
      <c r="Y28" s="46"/>
      <c r="Z28" s="46"/>
      <c r="AA28" s="46"/>
      <c r="AB28" s="47"/>
    </row>
    <row r="29" spans="1:28" ht="15.75" thickBot="1" x14ac:dyDescent="0.3">
      <c r="A29" s="249"/>
      <c r="B29" s="176"/>
      <c r="C29" s="216" t="s">
        <v>70</v>
      </c>
      <c r="D29" s="216"/>
      <c r="E29" s="216"/>
      <c r="F29" s="216"/>
      <c r="G29" s="216"/>
      <c r="H29" s="216"/>
      <c r="I29" s="216"/>
      <c r="J29" s="216"/>
      <c r="K29" s="216"/>
      <c r="L29" s="216"/>
      <c r="M29" s="216"/>
      <c r="N29" s="216"/>
      <c r="O29" s="216"/>
      <c r="P29" s="46"/>
      <c r="Q29" s="217">
        <v>4</v>
      </c>
      <c r="R29" s="218"/>
      <c r="S29" s="219"/>
      <c r="T29" s="46" t="s">
        <v>44</v>
      </c>
      <c r="U29" s="217">
        <v>1</v>
      </c>
      <c r="V29" s="218"/>
      <c r="W29" s="219"/>
      <c r="X29" s="46" t="s">
        <v>43</v>
      </c>
      <c r="Y29" s="46"/>
      <c r="Z29" s="46"/>
      <c r="AA29" s="46"/>
      <c r="AB29" s="47"/>
    </row>
    <row r="30" spans="1:28" ht="15.75" thickBot="1" x14ac:dyDescent="0.3">
      <c r="A30" s="249"/>
      <c r="B30" s="176"/>
      <c r="C30" s="216" t="s">
        <v>71</v>
      </c>
      <c r="D30" s="216"/>
      <c r="E30" s="216"/>
      <c r="F30" s="216"/>
      <c r="G30" s="216"/>
      <c r="H30" s="216"/>
      <c r="I30" s="216"/>
      <c r="J30" s="216"/>
      <c r="K30" s="216"/>
      <c r="L30" s="216"/>
      <c r="M30" s="216"/>
      <c r="N30" s="216"/>
      <c r="O30" s="216"/>
      <c r="P30" s="46"/>
      <c r="Q30" s="217">
        <v>3</v>
      </c>
      <c r="R30" s="218"/>
      <c r="S30" s="219"/>
      <c r="T30" s="46" t="s">
        <v>44</v>
      </c>
      <c r="U30" s="217">
        <v>1</v>
      </c>
      <c r="V30" s="218"/>
      <c r="W30" s="219"/>
      <c r="X30" s="46" t="s">
        <v>43</v>
      </c>
      <c r="Y30" s="46"/>
      <c r="Z30" s="46"/>
      <c r="AA30" s="46"/>
      <c r="AB30" s="47"/>
    </row>
    <row r="31" spans="1:28" x14ac:dyDescent="0.25">
      <c r="A31" s="249"/>
      <c r="B31" s="176"/>
      <c r="C31" s="141"/>
      <c r="D31" s="141"/>
      <c r="E31" s="141"/>
      <c r="F31" s="141"/>
      <c r="G31" s="141"/>
      <c r="H31" s="141"/>
      <c r="I31" s="141"/>
      <c r="J31" s="141"/>
      <c r="K31" s="141"/>
      <c r="L31" s="141"/>
      <c r="M31" s="141"/>
      <c r="N31" s="141"/>
      <c r="O31" s="141"/>
      <c r="P31" s="46"/>
      <c r="Q31" s="51"/>
      <c r="R31" s="51"/>
      <c r="S31" s="51"/>
      <c r="T31" s="46"/>
      <c r="U31" s="51"/>
      <c r="V31" s="51"/>
      <c r="W31" s="51"/>
      <c r="X31" s="46"/>
      <c r="Y31" s="46"/>
      <c r="Z31" s="46"/>
      <c r="AA31" s="46"/>
      <c r="AB31" s="47"/>
    </row>
    <row r="32" spans="1:28" s="148" customFormat="1" ht="15.75" thickBot="1" x14ac:dyDescent="0.3">
      <c r="A32" s="249"/>
      <c r="B32" s="176"/>
      <c r="C32" s="173" t="s">
        <v>145</v>
      </c>
      <c r="D32" s="171"/>
      <c r="E32" s="171"/>
      <c r="F32" s="171"/>
      <c r="G32" s="171"/>
      <c r="H32" s="171"/>
      <c r="I32" s="171"/>
      <c r="J32" s="171"/>
      <c r="K32" s="171"/>
      <c r="L32" s="171"/>
      <c r="M32" s="149"/>
      <c r="N32" s="149"/>
      <c r="O32" s="149"/>
      <c r="P32" s="149"/>
      <c r="Q32" s="150"/>
      <c r="R32" s="150"/>
      <c r="S32" s="150"/>
      <c r="T32" s="150"/>
      <c r="U32" s="150"/>
      <c r="V32" s="150"/>
      <c r="W32" s="150"/>
      <c r="X32" s="150"/>
      <c r="Y32" s="150"/>
      <c r="Z32" s="149"/>
      <c r="AA32" s="151"/>
      <c r="AB32" s="159"/>
    </row>
    <row r="33" spans="1:183" ht="15.75" thickBot="1" x14ac:dyDescent="0.3">
      <c r="A33" s="249"/>
      <c r="B33" s="176"/>
      <c r="C33" s="46"/>
      <c r="D33" s="216" t="s">
        <v>42</v>
      </c>
      <c r="E33" s="216"/>
      <c r="F33" s="216"/>
      <c r="G33" s="216"/>
      <c r="H33" s="216"/>
      <c r="I33" s="216"/>
      <c r="J33" s="216"/>
      <c r="K33" s="216"/>
      <c r="L33" s="216"/>
      <c r="M33" s="216"/>
      <c r="N33" s="216"/>
      <c r="O33" s="216"/>
      <c r="P33" s="46"/>
      <c r="Q33" s="217">
        <v>0</v>
      </c>
      <c r="R33" s="218"/>
      <c r="S33" s="219"/>
      <c r="T33" s="46" t="s">
        <v>28</v>
      </c>
      <c r="U33" s="46"/>
      <c r="V33" s="46"/>
      <c r="W33" s="46"/>
      <c r="X33" s="46"/>
      <c r="Y33" s="46"/>
      <c r="Z33" s="46"/>
      <c r="AA33" s="46"/>
      <c r="AB33" s="47"/>
    </row>
    <row r="34" spans="1:183" ht="15.75" thickBot="1" x14ac:dyDescent="0.3">
      <c r="A34" s="249"/>
      <c r="B34" s="176"/>
      <c r="C34" s="46"/>
      <c r="D34" s="216" t="s">
        <v>45</v>
      </c>
      <c r="E34" s="216"/>
      <c r="F34" s="216"/>
      <c r="G34" s="216"/>
      <c r="H34" s="216"/>
      <c r="I34" s="216"/>
      <c r="J34" s="216"/>
      <c r="K34" s="216"/>
      <c r="L34" s="216"/>
      <c r="M34" s="216"/>
      <c r="N34" s="216"/>
      <c r="O34" s="216"/>
      <c r="P34" s="46"/>
      <c r="Q34" s="217">
        <v>0</v>
      </c>
      <c r="R34" s="218"/>
      <c r="S34" s="219"/>
      <c r="T34" s="46" t="s">
        <v>44</v>
      </c>
      <c r="U34" s="217">
        <v>0</v>
      </c>
      <c r="V34" s="218"/>
      <c r="W34" s="219"/>
      <c r="X34" s="46" t="s">
        <v>43</v>
      </c>
      <c r="Y34" s="46"/>
      <c r="Z34" s="46"/>
      <c r="AA34" s="46"/>
      <c r="AB34" s="47"/>
    </row>
    <row r="35" spans="1:183" ht="15.75" thickBot="1" x14ac:dyDescent="0.3">
      <c r="A35" s="249"/>
      <c r="B35" s="176"/>
      <c r="C35" s="46"/>
      <c r="D35" s="216" t="s">
        <v>46</v>
      </c>
      <c r="E35" s="216"/>
      <c r="F35" s="216"/>
      <c r="G35" s="216"/>
      <c r="H35" s="216"/>
      <c r="I35" s="216"/>
      <c r="J35" s="216"/>
      <c r="K35" s="216"/>
      <c r="L35" s="216"/>
      <c r="M35" s="216"/>
      <c r="N35" s="216"/>
      <c r="O35" s="216"/>
      <c r="P35" s="46"/>
      <c r="Q35" s="217">
        <v>0</v>
      </c>
      <c r="R35" s="218"/>
      <c r="S35" s="219"/>
      <c r="T35" s="46" t="s">
        <v>44</v>
      </c>
      <c r="U35" s="217">
        <v>0</v>
      </c>
      <c r="V35" s="218"/>
      <c r="W35" s="219"/>
      <c r="X35" s="46" t="s">
        <v>43</v>
      </c>
      <c r="Y35" s="46"/>
      <c r="Z35" s="46"/>
      <c r="AA35" s="46"/>
      <c r="AB35" s="47"/>
    </row>
    <row r="36" spans="1:183" ht="15.75" thickBot="1" x14ac:dyDescent="0.3">
      <c r="A36" s="249"/>
      <c r="B36" s="176"/>
      <c r="C36" s="46"/>
      <c r="D36" s="216" t="s">
        <v>159</v>
      </c>
      <c r="E36" s="216"/>
      <c r="F36" s="216"/>
      <c r="G36" s="216"/>
      <c r="H36" s="216"/>
      <c r="I36" s="216"/>
      <c r="J36" s="216"/>
      <c r="K36" s="216"/>
      <c r="L36" s="216"/>
      <c r="M36" s="216"/>
      <c r="N36" s="216"/>
      <c r="O36" s="216"/>
      <c r="P36" s="46"/>
      <c r="Q36" s="217">
        <v>0</v>
      </c>
      <c r="R36" s="218"/>
      <c r="S36" s="219"/>
      <c r="T36" s="46" t="s">
        <v>28</v>
      </c>
      <c r="U36" s="46"/>
      <c r="V36" s="46"/>
      <c r="W36" s="46"/>
      <c r="X36" s="46"/>
      <c r="Y36" s="46"/>
      <c r="Z36" s="46"/>
      <c r="AA36" s="46"/>
      <c r="AB36" s="47"/>
    </row>
    <row r="37" spans="1:183" ht="15.75" thickBot="1" x14ac:dyDescent="0.3">
      <c r="A37" s="250"/>
      <c r="B37" s="176"/>
      <c r="C37" s="46"/>
      <c r="D37" s="46"/>
      <c r="E37" s="46"/>
      <c r="F37" s="46"/>
      <c r="G37" s="46"/>
      <c r="H37" s="46"/>
      <c r="I37" s="46"/>
      <c r="J37" s="46"/>
      <c r="K37" s="46"/>
      <c r="L37" s="46"/>
      <c r="M37" s="46"/>
      <c r="N37" s="46"/>
      <c r="O37" s="46"/>
      <c r="P37" s="46"/>
      <c r="Q37" s="46"/>
      <c r="R37" s="46"/>
      <c r="S37" s="46"/>
      <c r="T37" s="46"/>
      <c r="U37" s="46"/>
      <c r="V37" s="46"/>
      <c r="W37" s="46"/>
      <c r="X37" s="46"/>
      <c r="Y37" s="46"/>
      <c r="Z37" s="46"/>
      <c r="AA37" s="46"/>
      <c r="AB37" s="47"/>
      <c r="AC37" s="14"/>
      <c r="AD37" s="14"/>
      <c r="AE37" s="14"/>
      <c r="AF37" s="14"/>
      <c r="AG37" s="14"/>
      <c r="AH37" s="14"/>
      <c r="AI37" s="14"/>
      <c r="AJ37" s="14"/>
      <c r="AK37" s="14"/>
      <c r="AL37" s="14"/>
      <c r="AM37" s="14"/>
      <c r="AN37" s="14"/>
      <c r="AO37" s="14"/>
      <c r="AP37" s="14"/>
      <c r="AQ37" s="14"/>
      <c r="AR37" s="14"/>
      <c r="AS37" s="14"/>
      <c r="AT37" s="14"/>
      <c r="AU37" s="14"/>
      <c r="AV37" s="14"/>
      <c r="AW37" s="14"/>
      <c r="AX37" s="14"/>
      <c r="AY37" s="14"/>
      <c r="AZ37" s="14"/>
      <c r="BA37" s="14"/>
      <c r="BB37" s="14"/>
      <c r="BC37" s="14"/>
      <c r="BD37" s="14"/>
      <c r="BE37" s="14"/>
      <c r="BF37" s="14"/>
      <c r="BG37" s="14"/>
      <c r="BH37" s="14"/>
      <c r="BI37" s="14"/>
      <c r="BJ37" s="14"/>
      <c r="BK37" s="14"/>
      <c r="BL37" s="14"/>
      <c r="BM37" s="14"/>
      <c r="BN37" s="14"/>
      <c r="BO37" s="14"/>
      <c r="BP37" s="14"/>
      <c r="BQ37" s="14"/>
      <c r="BR37" s="14"/>
      <c r="BS37" s="14"/>
      <c r="BT37" s="14"/>
      <c r="BU37" s="14"/>
      <c r="BV37" s="14"/>
      <c r="BW37" s="14"/>
      <c r="BX37" s="14"/>
      <c r="BY37" s="14"/>
      <c r="BZ37" s="14"/>
      <c r="CA37" s="14"/>
      <c r="CB37" s="14"/>
      <c r="CC37" s="14"/>
      <c r="CD37" s="14"/>
      <c r="CE37" s="14"/>
      <c r="CF37" s="14"/>
      <c r="CG37" s="14"/>
      <c r="CH37" s="14"/>
      <c r="CI37" s="14"/>
      <c r="CJ37" s="14"/>
      <c r="CK37" s="14"/>
      <c r="CL37" s="14"/>
      <c r="CM37" s="14"/>
      <c r="CN37" s="14"/>
      <c r="CO37" s="14"/>
      <c r="CP37" s="14"/>
      <c r="CQ37" s="14"/>
      <c r="CR37" s="14"/>
      <c r="CS37" s="14"/>
      <c r="CT37" s="14"/>
      <c r="CU37" s="14"/>
      <c r="CV37" s="14"/>
      <c r="CW37" s="14"/>
      <c r="CX37" s="14"/>
      <c r="CY37" s="14"/>
      <c r="CZ37" s="14"/>
      <c r="DA37" s="14"/>
      <c r="DB37" s="14"/>
      <c r="DC37" s="14"/>
      <c r="DD37" s="14"/>
      <c r="DE37" s="14"/>
      <c r="DF37" s="14"/>
      <c r="DG37" s="14"/>
      <c r="DH37" s="14"/>
      <c r="DI37" s="14"/>
      <c r="DJ37" s="14"/>
      <c r="DK37" s="14"/>
      <c r="DL37" s="14"/>
      <c r="DM37" s="14"/>
      <c r="DN37" s="14"/>
      <c r="DO37" s="14"/>
      <c r="DP37" s="14"/>
      <c r="DQ37" s="14"/>
      <c r="DR37" s="14"/>
      <c r="DS37" s="14"/>
      <c r="DT37" s="14"/>
      <c r="DU37" s="14"/>
      <c r="DV37" s="14"/>
      <c r="DW37" s="14"/>
      <c r="DX37" s="14"/>
      <c r="DY37" s="14"/>
      <c r="DZ37" s="14"/>
      <c r="EA37" s="14"/>
      <c r="EB37" s="14"/>
      <c r="EC37" s="14"/>
      <c r="ED37" s="14"/>
      <c r="EE37" s="14"/>
      <c r="EF37" s="14"/>
      <c r="EG37" s="14"/>
      <c r="EH37" s="14"/>
      <c r="EI37" s="14"/>
      <c r="EJ37" s="14"/>
      <c r="EK37" s="14"/>
      <c r="EL37" s="14"/>
      <c r="EM37" s="14"/>
      <c r="EN37" s="14"/>
      <c r="EO37" s="14"/>
      <c r="EP37" s="14"/>
      <c r="EQ37" s="14"/>
      <c r="ER37" s="14"/>
      <c r="ES37" s="14"/>
      <c r="ET37" s="14"/>
      <c r="EU37" s="14"/>
      <c r="EV37" s="14"/>
      <c r="EW37" s="14"/>
      <c r="EX37" s="14"/>
      <c r="EY37" s="14"/>
      <c r="EZ37" s="14"/>
      <c r="FA37" s="14"/>
      <c r="FB37" s="14"/>
      <c r="FC37" s="14"/>
      <c r="FD37" s="14"/>
      <c r="FE37" s="14"/>
      <c r="FF37" s="14"/>
      <c r="FG37" s="14"/>
      <c r="FH37" s="14"/>
      <c r="FI37" s="14"/>
      <c r="FJ37" s="14"/>
      <c r="FK37" s="14"/>
      <c r="FL37" s="14"/>
      <c r="FM37" s="14"/>
      <c r="FN37" s="14"/>
      <c r="FO37" s="14"/>
      <c r="FP37" s="14"/>
      <c r="FQ37" s="14"/>
      <c r="FR37" s="14"/>
      <c r="FS37" s="14"/>
      <c r="FT37" s="14"/>
      <c r="FU37" s="14"/>
      <c r="FV37" s="14"/>
      <c r="FW37" s="14"/>
      <c r="FX37" s="14"/>
      <c r="FY37" s="14"/>
      <c r="FZ37" s="14"/>
      <c r="GA37" s="14"/>
    </row>
    <row r="38" spans="1:183" s="9" customFormat="1" ht="5.0999999999999996" customHeight="1" thickTop="1" thickBot="1" x14ac:dyDescent="0.3">
      <c r="A38" s="49"/>
      <c r="B38" s="177"/>
      <c r="C38" s="32"/>
      <c r="D38" s="32"/>
      <c r="E38" s="32"/>
      <c r="F38" s="32"/>
      <c r="G38" s="32"/>
      <c r="H38" s="32"/>
      <c r="I38" s="32"/>
      <c r="J38" s="32"/>
      <c r="K38" s="32"/>
      <c r="L38" s="32"/>
      <c r="M38" s="32"/>
      <c r="N38" s="32"/>
      <c r="O38" s="32"/>
      <c r="P38" s="32"/>
      <c r="Q38" s="32"/>
      <c r="R38" s="32"/>
      <c r="S38" s="32"/>
      <c r="T38" s="32"/>
      <c r="U38" s="32"/>
      <c r="V38" s="32"/>
      <c r="W38" s="32"/>
      <c r="X38" s="32"/>
      <c r="Y38" s="32"/>
      <c r="Z38" s="32"/>
      <c r="AA38" s="32"/>
      <c r="AB38" s="50"/>
      <c r="AC38" s="14"/>
      <c r="AD38" s="14"/>
      <c r="AE38" s="14"/>
      <c r="AF38" s="14"/>
      <c r="AG38" s="14"/>
      <c r="AH38" s="14"/>
      <c r="AI38" s="14"/>
      <c r="AJ38" s="14"/>
      <c r="AK38" s="14"/>
      <c r="AL38" s="14"/>
      <c r="AM38" s="14"/>
      <c r="AN38" s="14"/>
      <c r="AO38" s="14"/>
      <c r="AP38" s="14"/>
      <c r="AQ38" s="14"/>
      <c r="AR38" s="14"/>
      <c r="AS38" s="14"/>
      <c r="AT38" s="14"/>
      <c r="AU38" s="14"/>
      <c r="AV38" s="14"/>
      <c r="AW38" s="14"/>
      <c r="AX38" s="14"/>
      <c r="AY38" s="14"/>
      <c r="AZ38" s="14"/>
      <c r="BA38" s="14"/>
      <c r="BB38" s="14"/>
      <c r="BC38" s="14"/>
      <c r="BD38" s="14"/>
      <c r="BE38" s="14"/>
      <c r="BF38" s="14"/>
      <c r="BG38" s="14"/>
      <c r="BH38" s="14"/>
      <c r="BI38" s="14"/>
      <c r="BJ38" s="14"/>
      <c r="BK38" s="14"/>
      <c r="BL38" s="14"/>
      <c r="BM38" s="14"/>
      <c r="BN38" s="14"/>
      <c r="BO38" s="14"/>
      <c r="BP38" s="14"/>
      <c r="BQ38" s="14"/>
      <c r="BR38" s="14"/>
      <c r="BS38" s="14"/>
      <c r="BT38" s="14"/>
      <c r="BU38" s="14"/>
      <c r="BV38" s="14"/>
      <c r="BW38" s="14"/>
      <c r="BX38" s="14"/>
      <c r="BY38" s="14"/>
      <c r="BZ38" s="14"/>
      <c r="CA38" s="14"/>
      <c r="CB38" s="14"/>
      <c r="CC38" s="14"/>
      <c r="CD38" s="14"/>
      <c r="CE38" s="14"/>
      <c r="CF38" s="14"/>
      <c r="CG38" s="14"/>
      <c r="CH38" s="14"/>
      <c r="CI38" s="14"/>
      <c r="CJ38" s="14"/>
      <c r="CK38" s="14"/>
      <c r="CL38" s="14"/>
      <c r="CM38" s="14"/>
      <c r="CN38" s="14"/>
      <c r="CO38" s="14"/>
      <c r="CP38" s="14"/>
      <c r="CQ38" s="14"/>
      <c r="CR38" s="14"/>
      <c r="CS38" s="14"/>
      <c r="CT38" s="14"/>
      <c r="CU38" s="14"/>
      <c r="CV38" s="14"/>
      <c r="CW38" s="14"/>
      <c r="CX38" s="14"/>
      <c r="CY38" s="14"/>
      <c r="CZ38" s="14"/>
      <c r="DA38" s="14"/>
      <c r="DB38" s="14"/>
      <c r="DC38" s="14"/>
      <c r="DD38" s="14"/>
      <c r="DE38" s="14"/>
      <c r="DF38" s="14"/>
      <c r="DG38" s="14"/>
      <c r="DH38" s="14"/>
      <c r="DI38" s="14"/>
      <c r="DJ38" s="14"/>
      <c r="DK38" s="14"/>
      <c r="DL38" s="14"/>
      <c r="DM38" s="14"/>
      <c r="DN38" s="14"/>
      <c r="DO38" s="14"/>
      <c r="DP38" s="14"/>
      <c r="DQ38" s="14"/>
      <c r="DR38" s="14"/>
      <c r="DS38" s="14"/>
      <c r="DT38" s="14"/>
      <c r="DU38" s="14"/>
      <c r="DV38" s="14"/>
      <c r="DW38" s="14"/>
      <c r="DX38" s="14"/>
      <c r="DY38" s="14"/>
      <c r="DZ38" s="14"/>
      <c r="EA38" s="14"/>
      <c r="EB38" s="14"/>
      <c r="EC38" s="14"/>
      <c r="ED38" s="14"/>
      <c r="EE38" s="14"/>
      <c r="EF38" s="14"/>
      <c r="EG38" s="14"/>
      <c r="EH38" s="14"/>
      <c r="EI38" s="14"/>
      <c r="EJ38" s="14"/>
      <c r="EK38" s="14"/>
      <c r="EL38" s="14"/>
      <c r="EM38" s="14"/>
      <c r="EN38" s="14"/>
      <c r="EO38" s="14"/>
      <c r="EP38" s="14"/>
      <c r="EQ38" s="14"/>
      <c r="ER38" s="14"/>
      <c r="ES38" s="14"/>
      <c r="ET38" s="14"/>
      <c r="EU38" s="14"/>
      <c r="EV38" s="14"/>
      <c r="EW38" s="14"/>
      <c r="EX38" s="14"/>
      <c r="EY38" s="14"/>
      <c r="EZ38" s="14"/>
      <c r="FA38" s="14"/>
      <c r="FB38" s="14"/>
      <c r="FC38" s="14"/>
      <c r="FD38" s="14"/>
      <c r="FE38" s="14"/>
      <c r="FF38" s="14"/>
      <c r="FG38" s="14"/>
      <c r="FH38" s="14"/>
      <c r="FI38" s="14"/>
      <c r="FJ38" s="14"/>
      <c r="FK38" s="14"/>
      <c r="FL38" s="14"/>
      <c r="FM38" s="14"/>
      <c r="FN38" s="14"/>
      <c r="FO38" s="14"/>
      <c r="FP38" s="14"/>
      <c r="FQ38" s="14"/>
      <c r="FR38" s="14"/>
      <c r="FS38" s="14"/>
      <c r="FT38" s="14"/>
      <c r="FU38" s="14"/>
      <c r="FV38" s="14"/>
      <c r="FW38" s="14"/>
      <c r="FX38" s="14"/>
      <c r="FY38" s="14"/>
      <c r="FZ38" s="14"/>
      <c r="GA38" s="14"/>
    </row>
    <row r="39" spans="1:183" ht="20.25" thickTop="1" thickBot="1" x14ac:dyDescent="0.3">
      <c r="A39" s="279" t="s">
        <v>133</v>
      </c>
      <c r="B39" s="178"/>
      <c r="C39" s="46"/>
      <c r="D39" s="46"/>
      <c r="E39" s="46"/>
      <c r="F39" s="46"/>
      <c r="G39" s="46"/>
      <c r="H39" s="46"/>
      <c r="I39" s="46"/>
      <c r="J39" s="46"/>
      <c r="K39" s="46"/>
      <c r="L39" s="46"/>
      <c r="M39" s="46"/>
      <c r="N39" s="46"/>
      <c r="O39" s="46"/>
      <c r="P39" s="46"/>
      <c r="Q39" s="46"/>
      <c r="R39" s="46"/>
      <c r="S39" s="46"/>
      <c r="T39" s="46"/>
      <c r="U39" s="246" t="s">
        <v>142</v>
      </c>
      <c r="V39" s="246"/>
      <c r="W39" s="246"/>
      <c r="X39" s="149"/>
      <c r="Y39" s="46"/>
      <c r="Z39" s="46"/>
      <c r="AA39" s="46"/>
      <c r="AB39" s="47"/>
      <c r="AC39" s="14"/>
      <c r="AD39" s="14"/>
      <c r="AE39" s="14"/>
      <c r="AF39" s="14"/>
      <c r="AG39" s="14"/>
      <c r="AH39" s="14"/>
      <c r="AI39" s="14"/>
      <c r="AJ39" s="14"/>
      <c r="AK39" s="14"/>
      <c r="AL39" s="14"/>
      <c r="AM39" s="14"/>
      <c r="AN39" s="14"/>
      <c r="AO39" s="14"/>
      <c r="AP39" s="14"/>
      <c r="AQ39" s="14"/>
      <c r="AR39" s="14"/>
      <c r="AS39" s="14"/>
      <c r="AT39" s="14"/>
      <c r="AU39" s="14"/>
      <c r="AV39" s="14"/>
      <c r="AW39" s="14"/>
      <c r="AX39" s="14"/>
      <c r="AY39" s="14"/>
      <c r="AZ39" s="14"/>
      <c r="BA39" s="14"/>
      <c r="BB39" s="14"/>
      <c r="BC39" s="14"/>
      <c r="BD39" s="14"/>
      <c r="BE39" s="14"/>
      <c r="BF39" s="14"/>
      <c r="BG39" s="14"/>
      <c r="BH39" s="14"/>
      <c r="BI39" s="14"/>
      <c r="BJ39" s="14"/>
      <c r="BK39" s="14"/>
      <c r="BL39" s="14"/>
      <c r="BM39" s="14"/>
      <c r="BN39" s="14"/>
      <c r="BO39" s="14"/>
      <c r="BP39" s="14"/>
      <c r="BQ39" s="14"/>
      <c r="BR39" s="14"/>
      <c r="BS39" s="14"/>
      <c r="BT39" s="14"/>
      <c r="BU39" s="14"/>
      <c r="BV39" s="14"/>
      <c r="BW39" s="14"/>
      <c r="BX39" s="14"/>
      <c r="BY39" s="14"/>
      <c r="BZ39" s="14"/>
      <c r="CA39" s="14"/>
      <c r="CB39" s="14"/>
      <c r="CC39" s="14"/>
      <c r="CD39" s="14"/>
      <c r="CE39" s="14"/>
      <c r="CF39" s="14"/>
      <c r="CG39" s="14"/>
      <c r="CH39" s="14"/>
      <c r="CI39" s="14"/>
      <c r="CJ39" s="14"/>
      <c r="CK39" s="14"/>
      <c r="CL39" s="14"/>
      <c r="CM39" s="14"/>
      <c r="CN39" s="14"/>
      <c r="CO39" s="14"/>
      <c r="CP39" s="14"/>
      <c r="CQ39" s="14"/>
      <c r="CR39" s="14"/>
      <c r="CS39" s="14"/>
      <c r="CT39" s="14"/>
      <c r="CU39" s="14"/>
      <c r="CV39" s="14"/>
      <c r="CW39" s="14"/>
      <c r="CX39" s="14"/>
      <c r="CY39" s="14"/>
      <c r="CZ39" s="14"/>
      <c r="DA39" s="14"/>
      <c r="DB39" s="14"/>
      <c r="DC39" s="14"/>
      <c r="DD39" s="14"/>
      <c r="DE39" s="14"/>
      <c r="DF39" s="14"/>
      <c r="DG39" s="14"/>
      <c r="DH39" s="14"/>
      <c r="DI39" s="14"/>
      <c r="DJ39" s="14"/>
      <c r="DK39" s="14"/>
      <c r="DL39" s="14"/>
      <c r="DM39" s="14"/>
      <c r="DN39" s="14"/>
      <c r="DO39" s="14"/>
      <c r="DP39" s="14"/>
      <c r="DQ39" s="14"/>
      <c r="DR39" s="14"/>
      <c r="DS39" s="14"/>
      <c r="DT39" s="14"/>
      <c r="DU39" s="14"/>
      <c r="DV39" s="14"/>
      <c r="DW39" s="14"/>
      <c r="DX39" s="14"/>
      <c r="DY39" s="14"/>
      <c r="DZ39" s="14"/>
      <c r="EA39" s="14"/>
      <c r="EB39" s="14"/>
      <c r="EC39" s="14"/>
      <c r="ED39" s="14"/>
      <c r="EE39" s="14"/>
      <c r="EF39" s="14"/>
      <c r="EG39" s="14"/>
      <c r="EH39" s="14"/>
      <c r="EI39" s="14"/>
      <c r="EJ39" s="14"/>
      <c r="EK39" s="14"/>
      <c r="EL39" s="14"/>
      <c r="EM39" s="14"/>
      <c r="EN39" s="14"/>
      <c r="EO39" s="14"/>
      <c r="EP39" s="14"/>
      <c r="EQ39" s="14"/>
      <c r="ER39" s="14"/>
      <c r="ES39" s="14"/>
      <c r="ET39" s="14"/>
      <c r="EU39" s="14"/>
      <c r="EV39" s="14"/>
      <c r="EW39" s="14"/>
      <c r="EX39" s="14"/>
      <c r="EY39" s="14"/>
      <c r="EZ39" s="14"/>
      <c r="FA39" s="14"/>
      <c r="FB39" s="14"/>
      <c r="FC39" s="14"/>
      <c r="FD39" s="14"/>
      <c r="FE39" s="14"/>
      <c r="FF39" s="14"/>
      <c r="FG39" s="14"/>
      <c r="FH39" s="14"/>
      <c r="FI39" s="14"/>
      <c r="FJ39" s="14"/>
      <c r="FK39" s="14"/>
      <c r="FL39" s="14"/>
      <c r="FM39" s="14"/>
      <c r="FN39" s="14"/>
      <c r="FO39" s="14"/>
      <c r="FP39" s="14"/>
      <c r="FQ39" s="14"/>
      <c r="FR39" s="14"/>
      <c r="FS39" s="14"/>
      <c r="FT39" s="14"/>
      <c r="FU39" s="14"/>
      <c r="FV39" s="14"/>
      <c r="FW39" s="14"/>
      <c r="FX39" s="14"/>
      <c r="FY39" s="14"/>
      <c r="FZ39" s="14"/>
      <c r="GA39" s="14"/>
    </row>
    <row r="40" spans="1:183" ht="15" customHeight="1" thickTop="1" thickBot="1" x14ac:dyDescent="0.3">
      <c r="A40" s="276"/>
      <c r="B40" s="186"/>
      <c r="C40" s="230" t="s">
        <v>134</v>
      </c>
      <c r="D40" s="230"/>
      <c r="E40" s="230"/>
      <c r="F40" s="230"/>
      <c r="G40" s="230"/>
      <c r="H40" s="230"/>
      <c r="I40" s="230"/>
      <c r="J40" s="230"/>
      <c r="K40" s="230"/>
      <c r="L40" s="230"/>
      <c r="M40" s="230"/>
      <c r="N40" s="230"/>
      <c r="O40" s="230"/>
      <c r="P40" s="51" t="s">
        <v>18</v>
      </c>
      <c r="Q40" s="33">
        <f>Minimum_Parallel_Setbacks!$F$17</f>
        <v>171.48749999999998</v>
      </c>
      <c r="R40" s="207" t="s">
        <v>28</v>
      </c>
      <c r="S40" s="208"/>
      <c r="T40" s="46"/>
      <c r="U40" s="243">
        <f t="shared" ref="U40" si="0">$Q$21</f>
        <v>5.0999999999999996</v>
      </c>
      <c r="V40" s="244"/>
      <c r="W40" s="245"/>
      <c r="X40" s="149" t="s">
        <v>21</v>
      </c>
      <c r="Y40" s="46"/>
      <c r="Z40" s="46"/>
      <c r="AA40" s="46"/>
      <c r="AB40" s="47"/>
    </row>
    <row r="41" spans="1:183" ht="15" customHeight="1" thickTop="1" thickBot="1" x14ac:dyDescent="0.3">
      <c r="A41" s="276"/>
      <c r="B41" s="186"/>
      <c r="C41" s="230"/>
      <c r="D41" s="230"/>
      <c r="E41" s="230"/>
      <c r="F41" s="230"/>
      <c r="G41" s="230"/>
      <c r="H41" s="230"/>
      <c r="I41" s="230"/>
      <c r="J41" s="230"/>
      <c r="K41" s="230"/>
      <c r="L41" s="230"/>
      <c r="M41" s="230"/>
      <c r="N41" s="230"/>
      <c r="O41" s="230"/>
      <c r="P41" s="51"/>
      <c r="Q41" s="154"/>
      <c r="R41" s="155"/>
      <c r="S41" s="155"/>
      <c r="T41" s="46"/>
      <c r="U41" s="46"/>
      <c r="V41" s="46"/>
      <c r="W41" s="46"/>
      <c r="X41" s="46"/>
      <c r="Y41" s="46"/>
      <c r="Z41" s="46"/>
      <c r="AA41" s="46"/>
      <c r="AB41" s="47"/>
    </row>
    <row r="42" spans="1:183" ht="15" customHeight="1" thickTop="1" thickBot="1" x14ac:dyDescent="0.3">
      <c r="A42" s="276"/>
      <c r="B42" s="186"/>
      <c r="C42" s="230" t="s">
        <v>158</v>
      </c>
      <c r="D42" s="230"/>
      <c r="E42" s="230"/>
      <c r="F42" s="230"/>
      <c r="G42" s="230"/>
      <c r="H42" s="230"/>
      <c r="I42" s="230"/>
      <c r="J42" s="230"/>
      <c r="K42" s="230"/>
      <c r="L42" s="230"/>
      <c r="M42" s="230"/>
      <c r="N42" s="230"/>
      <c r="O42" s="230"/>
      <c r="P42" s="51" t="s">
        <v>18</v>
      </c>
      <c r="Q42" s="93">
        <f>ROUND(Number_of_Rows!$C$9,0)</f>
        <v>2</v>
      </c>
      <c r="R42" s="214" t="s">
        <v>37</v>
      </c>
      <c r="S42" s="215"/>
      <c r="T42" s="46"/>
      <c r="U42" s="46"/>
      <c r="V42" s="46"/>
      <c r="W42" s="46"/>
      <c r="X42" s="46"/>
      <c r="Y42" s="46"/>
      <c r="Z42" s="46"/>
      <c r="AA42" s="46"/>
      <c r="AB42" s="47"/>
      <c r="AC42" s="240"/>
      <c r="AD42" s="240"/>
      <c r="AE42" s="240"/>
      <c r="AF42" s="240"/>
      <c r="AG42" s="240"/>
      <c r="AH42" s="240"/>
      <c r="AI42" s="240"/>
      <c r="AJ42" s="240"/>
      <c r="AK42" s="240"/>
      <c r="AL42" s="240"/>
      <c r="AM42" s="240"/>
      <c r="AN42" s="240"/>
      <c r="AO42" s="240"/>
    </row>
    <row r="43" spans="1:183" s="14" customFormat="1" ht="15" customHeight="1" thickTop="1" x14ac:dyDescent="0.25">
      <c r="A43" s="280"/>
      <c r="B43" s="179"/>
      <c r="C43" s="114"/>
      <c r="D43" s="114"/>
      <c r="E43" s="114"/>
      <c r="F43" s="114"/>
      <c r="G43" s="114"/>
      <c r="H43" s="114"/>
      <c r="I43" s="114"/>
      <c r="J43" s="114"/>
      <c r="K43" s="114"/>
      <c r="L43" s="114"/>
      <c r="M43" s="114"/>
      <c r="N43" s="114"/>
      <c r="O43" s="114"/>
      <c r="P43" s="100"/>
      <c r="Q43" s="96"/>
      <c r="R43" s="97"/>
      <c r="S43" s="97"/>
      <c r="T43" s="34"/>
      <c r="U43" s="34"/>
      <c r="V43" s="34"/>
      <c r="W43" s="34"/>
      <c r="X43" s="34"/>
      <c r="Y43" s="34"/>
      <c r="Z43" s="34"/>
      <c r="AA43" s="34"/>
      <c r="AB43" s="52"/>
      <c r="AC43" s="240"/>
      <c r="AD43" s="240"/>
      <c r="AE43" s="240"/>
      <c r="AF43" s="240"/>
      <c r="AG43" s="240"/>
      <c r="AH43" s="240"/>
      <c r="AI43" s="240"/>
      <c r="AJ43" s="240"/>
      <c r="AK43" s="240"/>
      <c r="AL43" s="240"/>
      <c r="AM43" s="240"/>
      <c r="AN43" s="240"/>
      <c r="AO43" s="240"/>
    </row>
    <row r="44" spans="1:183" s="14" customFormat="1" ht="24.95" customHeight="1" thickBot="1" x14ac:dyDescent="0.3">
      <c r="A44" s="272" t="s">
        <v>135</v>
      </c>
      <c r="B44" s="180"/>
      <c r="C44" s="241" t="str">
        <f>[1]First_Row_Placement!B2</f>
        <v xml:space="preserve">MINIMUM SET BACK AND HEIGHT OF MATURE PLANTS FOR FIRST ROW </v>
      </c>
      <c r="D44" s="241"/>
      <c r="E44" s="241"/>
      <c r="F44" s="241"/>
      <c r="G44" s="241"/>
      <c r="H44" s="241"/>
      <c r="I44" s="241"/>
      <c r="J44" s="241"/>
      <c r="K44" s="241"/>
      <c r="L44" s="241"/>
      <c r="M44" s="241"/>
      <c r="N44" s="241"/>
      <c r="O44" s="241"/>
      <c r="P44" s="241"/>
      <c r="Q44" s="241"/>
      <c r="R44" s="241"/>
      <c r="S44" s="241"/>
      <c r="T44" s="241"/>
      <c r="U44" s="241"/>
      <c r="V44" s="241"/>
      <c r="W44" s="241"/>
      <c r="X44" s="241"/>
      <c r="Y44" s="241"/>
      <c r="Z44" s="241"/>
      <c r="AA44" s="241"/>
      <c r="AB44" s="242"/>
    </row>
    <row r="45" spans="1:183" ht="15" customHeight="1" thickBot="1" x14ac:dyDescent="0.3">
      <c r="A45" s="273"/>
      <c r="B45" s="181"/>
      <c r="C45" s="60"/>
      <c r="D45" s="60"/>
      <c r="E45" s="60"/>
      <c r="F45" s="60"/>
      <c r="G45" s="60"/>
      <c r="H45" s="60"/>
      <c r="I45" s="60"/>
      <c r="J45" s="60"/>
      <c r="K45" s="60"/>
      <c r="L45" s="60"/>
      <c r="M45" s="60"/>
      <c r="N45" s="60"/>
      <c r="O45" s="60"/>
      <c r="P45" s="60"/>
      <c r="Q45" s="60"/>
      <c r="R45" s="60"/>
      <c r="S45" s="60"/>
      <c r="T45" s="60"/>
      <c r="U45" s="60"/>
      <c r="V45" s="289" t="str">
        <f>[1]First_Row_Placement!B3</f>
        <v>SLOPE OF</v>
      </c>
      <c r="W45" s="290"/>
      <c r="X45" s="289" t="str">
        <f>[1]First_Row_Placement!C3</f>
        <v>SET BACK</v>
      </c>
      <c r="Y45" s="290"/>
      <c r="Z45" s="289" t="str">
        <f>[1]First_Row_Placement!D3</f>
        <v>HEIGHT</v>
      </c>
      <c r="AA45" s="290"/>
      <c r="AB45" s="47"/>
    </row>
    <row r="46" spans="1:183" ht="15" customHeight="1" thickBot="1" x14ac:dyDescent="0.3">
      <c r="A46" s="273"/>
      <c r="B46" s="181"/>
      <c r="C46" s="46"/>
      <c r="D46" s="46"/>
      <c r="E46" s="46"/>
      <c r="F46" s="46"/>
      <c r="G46" s="46"/>
      <c r="H46" s="46"/>
      <c r="I46" s="46"/>
      <c r="J46" s="46"/>
      <c r="K46" s="46"/>
      <c r="L46" s="46"/>
      <c r="M46" s="46"/>
      <c r="N46" s="46"/>
      <c r="O46" s="46"/>
      <c r="P46" s="46"/>
      <c r="Q46" s="46"/>
      <c r="R46" s="46"/>
      <c r="S46" s="46"/>
      <c r="T46" s="46"/>
      <c r="U46" s="46"/>
      <c r="V46" s="282" t="str">
        <f>[1]First_Row_Placement!B4</f>
        <v>3 TO 1</v>
      </c>
      <c r="W46" s="283"/>
      <c r="X46" s="285" t="str">
        <f>[1]First_Row_Placement!C4</f>
        <v>35'-0"</v>
      </c>
      <c r="Y46" s="233"/>
      <c r="Z46" s="233" t="str">
        <f>[1]First_Row_Placement!D4</f>
        <v>8'-0"</v>
      </c>
      <c r="AA46" s="234"/>
      <c r="AB46" s="47"/>
    </row>
    <row r="47" spans="1:183" ht="15" customHeight="1" thickBot="1" x14ac:dyDescent="0.3">
      <c r="A47" s="273"/>
      <c r="B47" s="181"/>
      <c r="C47" s="230" t="s">
        <v>137</v>
      </c>
      <c r="D47" s="230"/>
      <c r="E47" s="230"/>
      <c r="F47" s="230"/>
      <c r="G47" s="230"/>
      <c r="H47" s="230"/>
      <c r="I47" s="230"/>
      <c r="J47" s="230"/>
      <c r="K47" s="230"/>
      <c r="L47" s="230"/>
      <c r="M47" s="230"/>
      <c r="N47" s="230"/>
      <c r="O47" s="230"/>
      <c r="P47" s="230"/>
      <c r="Q47" s="230"/>
      <c r="R47" s="46"/>
      <c r="S47" s="46"/>
      <c r="T47" s="46"/>
      <c r="U47" s="46"/>
      <c r="V47" s="282" t="str">
        <f>[1]First_Row_Placement!B5</f>
        <v>4 TO 1</v>
      </c>
      <c r="W47" s="283"/>
      <c r="X47" s="284" t="str">
        <f>[1]First_Row_Placement!C5</f>
        <v>35'-0"</v>
      </c>
      <c r="Y47" s="235"/>
      <c r="Z47" s="235" t="str">
        <f>[1]First_Row_Placement!D5</f>
        <v>5'-0"</v>
      </c>
      <c r="AA47" s="236"/>
      <c r="AB47" s="47"/>
    </row>
    <row r="48" spans="1:183" ht="15" customHeight="1" thickBot="1" x14ac:dyDescent="0.3">
      <c r="A48" s="273"/>
      <c r="B48" s="181"/>
      <c r="C48" s="230" t="s">
        <v>138</v>
      </c>
      <c r="D48" s="230"/>
      <c r="E48" s="230"/>
      <c r="F48" s="230"/>
      <c r="G48" s="230"/>
      <c r="H48" s="230"/>
      <c r="I48" s="230"/>
      <c r="J48" s="230"/>
      <c r="K48" s="230"/>
      <c r="L48" s="230"/>
      <c r="M48" s="230"/>
      <c r="N48" s="230"/>
      <c r="O48" s="230"/>
      <c r="P48" s="53"/>
      <c r="Q48" s="53"/>
      <c r="R48" s="53"/>
      <c r="S48" s="53"/>
      <c r="T48" s="46"/>
      <c r="U48" s="46"/>
      <c r="V48" s="282" t="str">
        <f>[1]First_Row_Placement!B6</f>
        <v>5 TO 1</v>
      </c>
      <c r="W48" s="283"/>
      <c r="X48" s="284" t="str">
        <f>[1]First_Row_Placement!C6</f>
        <v>44'-0"</v>
      </c>
      <c r="Y48" s="235"/>
      <c r="Z48" s="235" t="str">
        <f>[1]First_Row_Placement!D6</f>
        <v>4'-0"</v>
      </c>
      <c r="AA48" s="236"/>
      <c r="AB48" s="47"/>
      <c r="AD48" s="2"/>
    </row>
    <row r="49" spans="1:28" ht="16.5" customHeight="1" thickTop="1" thickBot="1" x14ac:dyDescent="0.3">
      <c r="A49" s="273"/>
      <c r="B49" s="181"/>
      <c r="C49" s="220" t="s">
        <v>139</v>
      </c>
      <c r="D49" s="220"/>
      <c r="E49" s="220"/>
      <c r="F49" s="220"/>
      <c r="G49" s="220"/>
      <c r="H49" s="220"/>
      <c r="I49" s="220"/>
      <c r="J49" s="220"/>
      <c r="K49" s="220"/>
      <c r="L49" s="220"/>
      <c r="M49" s="220"/>
      <c r="N49" s="220"/>
      <c r="O49" s="220"/>
      <c r="P49" s="51" t="s">
        <v>18</v>
      </c>
      <c r="Q49" s="57">
        <f>IF(Q29&lt;=2,"No",IF(Q29=3,35,IF(Q29=4,35,IF(Q29=5,44,IF(Q29=6,48,"No")))))</f>
        <v>35</v>
      </c>
      <c r="R49" s="207" t="s">
        <v>21</v>
      </c>
      <c r="S49" s="213"/>
      <c r="T49" s="46"/>
      <c r="U49" s="46"/>
      <c r="V49" s="282" t="str">
        <f>[1]First_Row_Placement!B7</f>
        <v>6 TO 1</v>
      </c>
      <c r="W49" s="283"/>
      <c r="X49" s="281" t="str">
        <f>[1]First_Row_Placement!C7</f>
        <v>48'-0"</v>
      </c>
      <c r="Y49" s="231"/>
      <c r="Z49" s="231" t="str">
        <f>[1]First_Row_Placement!D7</f>
        <v>4'-0"</v>
      </c>
      <c r="AA49" s="232"/>
      <c r="AB49" s="47"/>
    </row>
    <row r="50" spans="1:28" ht="15.75" customHeight="1" thickTop="1" thickBot="1" x14ac:dyDescent="0.3">
      <c r="A50" s="273"/>
      <c r="B50" s="181"/>
      <c r="C50" s="220" t="s">
        <v>140</v>
      </c>
      <c r="D50" s="220"/>
      <c r="E50" s="220"/>
      <c r="F50" s="220"/>
      <c r="G50" s="220"/>
      <c r="H50" s="220"/>
      <c r="I50" s="220"/>
      <c r="J50" s="220"/>
      <c r="K50" s="220"/>
      <c r="L50" s="220"/>
      <c r="M50" s="220"/>
      <c r="N50" s="220"/>
      <c r="O50" s="220"/>
      <c r="P50" s="51" t="s">
        <v>18</v>
      </c>
      <c r="Q50" s="57">
        <f>IF(Q29&lt;=2,"No",IF(Q29=3,8,IF(Q29=4,5,IF(Q29=5,4,IF(Q29=6,4,"No")))))</f>
        <v>5</v>
      </c>
      <c r="R50" s="207" t="s">
        <v>21</v>
      </c>
      <c r="S50" s="213"/>
      <c r="T50" s="46"/>
      <c r="U50" s="46"/>
      <c r="V50" s="64"/>
      <c r="W50" s="64"/>
      <c r="X50" s="64"/>
      <c r="Y50" s="64"/>
      <c r="Z50" s="64"/>
      <c r="AA50" s="64"/>
      <c r="AB50" s="47"/>
    </row>
    <row r="51" spans="1:28" s="14" customFormat="1" ht="15.75" customHeight="1" thickTop="1" x14ac:dyDescent="0.25">
      <c r="A51" s="273"/>
      <c r="B51" s="181"/>
      <c r="C51" s="99"/>
      <c r="D51" s="99"/>
      <c r="E51" s="99"/>
      <c r="F51" s="99"/>
      <c r="G51" s="99"/>
      <c r="H51" s="99"/>
      <c r="I51" s="99"/>
      <c r="J51" s="99"/>
      <c r="K51" s="99"/>
      <c r="L51" s="99"/>
      <c r="M51" s="99"/>
      <c r="N51" s="99"/>
      <c r="O51" s="99"/>
      <c r="P51" s="100"/>
      <c r="Q51" s="101"/>
      <c r="R51" s="101"/>
      <c r="S51" s="101"/>
      <c r="T51" s="34"/>
      <c r="U51" s="34"/>
      <c r="V51" s="102"/>
      <c r="W51" s="102"/>
      <c r="X51" s="102"/>
      <c r="Y51" s="102"/>
      <c r="Z51" s="102"/>
      <c r="AA51" s="102"/>
      <c r="AB51" s="47"/>
    </row>
    <row r="52" spans="1:28" ht="24.95" customHeight="1" thickBot="1" x14ac:dyDescent="0.3">
      <c r="A52" s="273"/>
      <c r="B52" s="189"/>
      <c r="C52" s="172" t="s">
        <v>157</v>
      </c>
      <c r="D52" s="156"/>
      <c r="E52" s="156"/>
      <c r="F52" s="156"/>
      <c r="G52" s="156"/>
      <c r="H52" s="156"/>
      <c r="I52" s="156"/>
      <c r="J52" s="156"/>
      <c r="K52" s="156"/>
      <c r="L52" s="156"/>
      <c r="M52" s="156"/>
      <c r="N52" s="156"/>
      <c r="O52" s="156"/>
      <c r="P52" s="156"/>
      <c r="Q52" s="156"/>
      <c r="R52" s="156"/>
      <c r="S52" s="156"/>
      <c r="T52" s="156"/>
      <c r="U52" s="156"/>
      <c r="V52" s="156"/>
      <c r="W52" s="156"/>
      <c r="X52" s="156"/>
      <c r="Y52" s="156"/>
      <c r="Z52" s="156"/>
      <c r="AA52" s="156"/>
      <c r="AB52" s="47"/>
    </row>
    <row r="53" spans="1:28" ht="15" customHeight="1" thickBot="1" x14ac:dyDescent="0.3">
      <c r="A53" s="273"/>
      <c r="B53" s="181"/>
      <c r="C53" s="225" t="str">
        <f>[1]Horizontal_Forment!B3</f>
        <v>SLOPE</v>
      </c>
      <c r="D53" s="225"/>
      <c r="E53" s="225"/>
      <c r="F53" s="227" t="str">
        <f>[1]Horizontal_Forment!E3</f>
        <v>HEIGHT OF MATURITY PLANT - IN FEET</v>
      </c>
      <c r="G53" s="228"/>
      <c r="H53" s="228"/>
      <c r="I53" s="228"/>
      <c r="J53" s="228"/>
      <c r="K53" s="228"/>
      <c r="L53" s="228"/>
      <c r="M53" s="228"/>
      <c r="N53" s="228"/>
      <c r="O53" s="228"/>
      <c r="P53" s="228"/>
      <c r="Q53" s="228"/>
      <c r="R53" s="228"/>
      <c r="S53" s="228"/>
      <c r="T53" s="228"/>
      <c r="U53" s="228"/>
      <c r="V53" s="228"/>
      <c r="W53" s="228"/>
      <c r="X53" s="228"/>
      <c r="Y53" s="228"/>
      <c r="Z53" s="228"/>
      <c r="AA53" s="229"/>
      <c r="AB53" s="98"/>
    </row>
    <row r="54" spans="1:28" ht="15" customHeight="1" thickBot="1" x14ac:dyDescent="0.3">
      <c r="A54" s="273"/>
      <c r="B54" s="181"/>
      <c r="C54" s="226" t="str">
        <f>[1]Horizontal_Forment!B4</f>
        <v>RUN/RISE</v>
      </c>
      <c r="D54" s="226"/>
      <c r="E54" s="226"/>
      <c r="F54" s="192">
        <f>[1]Horizontal_Forment!E4</f>
        <v>4</v>
      </c>
      <c r="G54" s="190">
        <f>[1]Horizontal_Forment!F4</f>
        <v>5</v>
      </c>
      <c r="H54" s="190">
        <f>[1]Horizontal_Forment!G4</f>
        <v>6</v>
      </c>
      <c r="I54" s="190">
        <f>[1]Horizontal_Forment!H4</f>
        <v>7</v>
      </c>
      <c r="J54" s="190">
        <f>[1]Horizontal_Forment!I4</f>
        <v>8</v>
      </c>
      <c r="K54" s="190">
        <f>[1]Horizontal_Forment!J4</f>
        <v>9</v>
      </c>
      <c r="L54" s="190">
        <f>[1]Horizontal_Forment!K4</f>
        <v>10</v>
      </c>
      <c r="M54" s="190">
        <f>[1]Horizontal_Forment!L4</f>
        <v>11</v>
      </c>
      <c r="N54" s="190">
        <f>[1]Horizontal_Forment!M4</f>
        <v>12</v>
      </c>
      <c r="O54" s="190">
        <f>[1]Horizontal_Forment!N4</f>
        <v>13</v>
      </c>
      <c r="P54" s="190">
        <f>[1]Horizontal_Forment!O4</f>
        <v>14</v>
      </c>
      <c r="Q54" s="190">
        <f>[1]Horizontal_Forment!P4</f>
        <v>15</v>
      </c>
      <c r="R54" s="190">
        <f>[1]Horizontal_Forment!Q4</f>
        <v>16</v>
      </c>
      <c r="S54" s="190">
        <f>[1]Horizontal_Forment!R4</f>
        <v>17</v>
      </c>
      <c r="T54" s="190">
        <f>[1]Horizontal_Forment!S4</f>
        <v>18</v>
      </c>
      <c r="U54" s="190">
        <f>[1]Horizontal_Forment!T4</f>
        <v>19</v>
      </c>
      <c r="V54" s="190">
        <f>[1]Horizontal_Forment!U4</f>
        <v>20</v>
      </c>
      <c r="W54" s="190">
        <f>[1]Horizontal_Forment!V4</f>
        <v>21</v>
      </c>
      <c r="X54" s="190">
        <f>[1]Horizontal_Forment!W4</f>
        <v>22</v>
      </c>
      <c r="Y54" s="190">
        <f>[1]Horizontal_Forment!X4</f>
        <v>23</v>
      </c>
      <c r="Z54" s="190">
        <f>[1]Horizontal_Forment!Y4</f>
        <v>24</v>
      </c>
      <c r="AA54" s="191">
        <f>[1]Horizontal_Forment!Z4</f>
        <v>25</v>
      </c>
      <c r="AB54" s="47"/>
    </row>
    <row r="55" spans="1:28" ht="15" customHeight="1" thickBot="1" x14ac:dyDescent="0.3">
      <c r="A55" s="273"/>
      <c r="B55" s="181"/>
      <c r="C55" s="226"/>
      <c r="D55" s="226"/>
      <c r="E55" s="226"/>
      <c r="F55" s="286" t="str">
        <f>[1]Horizontal_Forment!E5</f>
        <v>DISTANCE BETWEEN ROWS - IN FEET</v>
      </c>
      <c r="G55" s="287"/>
      <c r="H55" s="287"/>
      <c r="I55" s="287"/>
      <c r="J55" s="287"/>
      <c r="K55" s="287"/>
      <c r="L55" s="287"/>
      <c r="M55" s="287"/>
      <c r="N55" s="287"/>
      <c r="O55" s="287"/>
      <c r="P55" s="287"/>
      <c r="Q55" s="287"/>
      <c r="R55" s="287"/>
      <c r="S55" s="287"/>
      <c r="T55" s="287"/>
      <c r="U55" s="287"/>
      <c r="V55" s="287"/>
      <c r="W55" s="287"/>
      <c r="X55" s="287"/>
      <c r="Y55" s="287"/>
      <c r="Z55" s="287"/>
      <c r="AA55" s="288"/>
      <c r="AB55" s="47"/>
    </row>
    <row r="56" spans="1:28" ht="15" customHeight="1" thickBot="1" x14ac:dyDescent="0.3">
      <c r="A56" s="273"/>
      <c r="B56" s="181"/>
      <c r="C56" s="195">
        <f>[1]Horizontal_Forment!B6</f>
        <v>3</v>
      </c>
      <c r="D56" s="196" t="str">
        <f>[1]Horizontal_Forment!C6</f>
        <v>TO</v>
      </c>
      <c r="E56" s="197">
        <f>[1]Horizontal_Forment!D6</f>
        <v>1</v>
      </c>
      <c r="F56" s="198">
        <f>[1]Horizontal_Forment!E6</f>
        <v>11.552228145109108</v>
      </c>
      <c r="G56" s="199">
        <f>[1]Horizontal_Forment!F6</f>
        <v>14.440285181386386</v>
      </c>
      <c r="H56" s="199">
        <f>[1]Horizontal_Forment!G6</f>
        <v>17.328342217663664</v>
      </c>
      <c r="I56" s="199">
        <f>[1]Horizontal_Forment!H6</f>
        <v>20.216399253940939</v>
      </c>
      <c r="J56" s="199">
        <f>[1]Horizontal_Forment!I6</f>
        <v>23.104456290218216</v>
      </c>
      <c r="K56" s="199">
        <f>[1]Horizontal_Forment!J6</f>
        <v>25.992513326495494</v>
      </c>
      <c r="L56" s="199">
        <f>[1]Horizontal_Forment!K6</f>
        <v>28.880570362772772</v>
      </c>
      <c r="M56" s="199">
        <f>[1]Horizontal_Forment!L6</f>
        <v>31.768627399050047</v>
      </c>
      <c r="N56" s="199">
        <f>[1]Horizontal_Forment!M6</f>
        <v>34.656684435327328</v>
      </c>
      <c r="O56" s="199">
        <f>[1]Horizontal_Forment!N6</f>
        <v>37.544741471604603</v>
      </c>
      <c r="P56" s="199">
        <f>[1]Horizontal_Forment!O6</f>
        <v>40.432798507881877</v>
      </c>
      <c r="Q56" s="199">
        <f>[1]Horizontal_Forment!P6</f>
        <v>43.320855544159159</v>
      </c>
      <c r="R56" s="199">
        <f>[1]Horizontal_Forment!Q6</f>
        <v>46.208912580436433</v>
      </c>
      <c r="S56" s="199">
        <f>[1]Horizontal_Forment!R6</f>
        <v>49.096969616713707</v>
      </c>
      <c r="T56" s="199">
        <f>[1]Horizontal_Forment!S6</f>
        <v>51.985026652990989</v>
      </c>
      <c r="U56" s="199">
        <f>[1]Horizontal_Forment!T6</f>
        <v>54.873083689268263</v>
      </c>
      <c r="V56" s="199">
        <f>[1]Horizontal_Forment!U6</f>
        <v>57.761140725545545</v>
      </c>
      <c r="W56" s="199">
        <f>[1]Horizontal_Forment!V6</f>
        <v>60.649197761822819</v>
      </c>
      <c r="X56" s="199">
        <f>[1]Horizontal_Forment!W6</f>
        <v>63.537254798100093</v>
      </c>
      <c r="Y56" s="199">
        <f>[1]Horizontal_Forment!X6</f>
        <v>66.425311834377368</v>
      </c>
      <c r="Z56" s="199">
        <f>[1]Horizontal_Forment!Y6</f>
        <v>69.313368870654656</v>
      </c>
      <c r="AA56" s="200">
        <f>[1]Horizontal_Forment!Z6</f>
        <v>72.201425906931931</v>
      </c>
      <c r="AB56" s="47"/>
    </row>
    <row r="57" spans="1:28" ht="15" customHeight="1" thickBot="1" x14ac:dyDescent="0.3">
      <c r="A57" s="273"/>
      <c r="B57" s="181"/>
      <c r="C57" s="195">
        <f>[1]Horizontal_Forment!B7</f>
        <v>4</v>
      </c>
      <c r="D57" s="196" t="str">
        <f>[1]Horizontal_Forment!C7</f>
        <v>TO</v>
      </c>
      <c r="E57" s="197">
        <f>[1]Horizontal_Forment!D7</f>
        <v>1</v>
      </c>
      <c r="F57" s="193">
        <f>[1]Horizontal_Forment!E7</f>
        <v>15.66526945858376</v>
      </c>
      <c r="G57" s="35">
        <f>[1]Horizontal_Forment!F7</f>
        <v>19.581586823229699</v>
      </c>
      <c r="H57" s="35">
        <f>[1]Horizontal_Forment!G7</f>
        <v>23.497904187875641</v>
      </c>
      <c r="I57" s="35">
        <f>[1]Horizontal_Forment!H7</f>
        <v>27.414221552521582</v>
      </c>
      <c r="J57" s="35">
        <f>[1]Horizontal_Forment!I7</f>
        <v>31.330538917167519</v>
      </c>
      <c r="K57" s="35">
        <f>[1]Horizontal_Forment!J7</f>
        <v>35.246856281813457</v>
      </c>
      <c r="L57" s="35">
        <f>[1]Horizontal_Forment!K7</f>
        <v>39.163173646459398</v>
      </c>
      <c r="M57" s="35">
        <f>[1]Horizontal_Forment!L7</f>
        <v>43.07949101110534</v>
      </c>
      <c r="N57" s="35">
        <f>[1]Horizontal_Forment!M7</f>
        <v>46.995808375751281</v>
      </c>
      <c r="O57" s="35">
        <f>[1]Horizontal_Forment!N7</f>
        <v>50.912125740397222</v>
      </c>
      <c r="P57" s="35">
        <f>[1]Horizontal_Forment!O7</f>
        <v>54.828443105043164</v>
      </c>
      <c r="Q57" s="35">
        <f>[1]Horizontal_Forment!P7</f>
        <v>58.744760469689098</v>
      </c>
      <c r="R57" s="35">
        <f>[1]Horizontal_Forment!Q7</f>
        <v>62.661077834335039</v>
      </c>
      <c r="S57" s="35">
        <f>[1]Horizontal_Forment!R7</f>
        <v>66.57739519898098</v>
      </c>
      <c r="T57" s="35">
        <f>[1]Horizontal_Forment!S7</f>
        <v>70.493712563626914</v>
      </c>
      <c r="U57" s="35">
        <f>[1]Horizontal_Forment!T7</f>
        <v>74.410029928272863</v>
      </c>
      <c r="V57" s="35">
        <f>[1]Horizontal_Forment!U7</f>
        <v>78.326347292918797</v>
      </c>
      <c r="W57" s="35">
        <f>[1]Horizontal_Forment!V7</f>
        <v>82.242664657564745</v>
      </c>
      <c r="X57" s="35">
        <f>[1]Horizontal_Forment!W7</f>
        <v>86.158982022210679</v>
      </c>
      <c r="Y57" s="35">
        <f>[1]Horizontal_Forment!X7</f>
        <v>90.075299386856614</v>
      </c>
      <c r="Z57" s="35">
        <f>[1]Horizontal_Forment!Y7</f>
        <v>93.991616751502562</v>
      </c>
      <c r="AA57" s="36">
        <f>[1]Horizontal_Forment!Z7</f>
        <v>97.907934116148496</v>
      </c>
      <c r="AB57" s="47"/>
    </row>
    <row r="58" spans="1:28" ht="15" customHeight="1" thickBot="1" x14ac:dyDescent="0.3">
      <c r="A58" s="273"/>
      <c r="B58" s="181"/>
      <c r="C58" s="195">
        <f>[1]Horizontal_Forment!B8</f>
        <v>5</v>
      </c>
      <c r="D58" s="196" t="str">
        <f>[1]Horizontal_Forment!C8</f>
        <v>TO</v>
      </c>
      <c r="E58" s="197">
        <f>[1]Horizontal_Forment!D8</f>
        <v>1</v>
      </c>
      <c r="F58" s="193">
        <f>[1]Horizontal_Forment!E8</f>
        <v>19.732619502347571</v>
      </c>
      <c r="G58" s="35">
        <f>[1]Horizontal_Forment!F8</f>
        <v>24.665774377934465</v>
      </c>
      <c r="H58" s="35">
        <f>[1]Horizontal_Forment!G8</f>
        <v>29.598929253521359</v>
      </c>
      <c r="I58" s="35">
        <f>[1]Horizontal_Forment!H8</f>
        <v>34.532084129108249</v>
      </c>
      <c r="J58" s="35">
        <f>[1]Horizontal_Forment!I8</f>
        <v>39.465239004695142</v>
      </c>
      <c r="K58" s="35">
        <f>[1]Horizontal_Forment!J8</f>
        <v>44.398393880282036</v>
      </c>
      <c r="L58" s="35">
        <f>[1]Horizontal_Forment!K8</f>
        <v>49.33154875586893</v>
      </c>
      <c r="M58" s="35">
        <f>[1]Horizontal_Forment!L8</f>
        <v>54.264703631455824</v>
      </c>
      <c r="N58" s="35">
        <f>[1]Horizontal_Forment!M8</f>
        <v>59.197858507042717</v>
      </c>
      <c r="O58" s="35">
        <f>[1]Horizontal_Forment!N8</f>
        <v>64.131013382629618</v>
      </c>
      <c r="P58" s="35">
        <f>[1]Horizontal_Forment!O8</f>
        <v>69.064168258216498</v>
      </c>
      <c r="Q58" s="35">
        <f>[1]Horizontal_Forment!P8</f>
        <v>73.997323133803391</v>
      </c>
      <c r="R58" s="35">
        <f>[1]Horizontal_Forment!Q8</f>
        <v>78.930478009390285</v>
      </c>
      <c r="S58" s="35">
        <f>[1]Horizontal_Forment!R8</f>
        <v>83.863632884977179</v>
      </c>
      <c r="T58" s="35">
        <f>[1]Horizontal_Forment!S8</f>
        <v>88.796787760564072</v>
      </c>
      <c r="U58" s="35">
        <f>[1]Horizontal_Forment!T8</f>
        <v>93.729942636150966</v>
      </c>
      <c r="V58" s="35">
        <f>[1]Horizontal_Forment!U8</f>
        <v>98.66309751173786</v>
      </c>
      <c r="W58" s="35">
        <f>[1]Horizontal_Forment!V8</f>
        <v>103.59625238732475</v>
      </c>
      <c r="X58" s="35">
        <f>[1]Horizontal_Forment!W8</f>
        <v>108.52940726291165</v>
      </c>
      <c r="Y58" s="35">
        <f>[1]Horizontal_Forment!X8</f>
        <v>113.46256213849854</v>
      </c>
      <c r="Z58" s="35">
        <f>[1]Horizontal_Forment!Y8</f>
        <v>118.39571701408543</v>
      </c>
      <c r="AA58" s="36">
        <f>[1]Horizontal_Forment!Z8</f>
        <v>123.32887188967233</v>
      </c>
      <c r="AB58" s="47"/>
    </row>
    <row r="59" spans="1:28" ht="15.75" customHeight="1" thickBot="1" x14ac:dyDescent="0.3">
      <c r="A59" s="273"/>
      <c r="B59" s="181"/>
      <c r="C59" s="195">
        <f>[1]Horizontal_Forment!B9</f>
        <v>6</v>
      </c>
      <c r="D59" s="196" t="str">
        <f>[1]Horizontal_Forment!C9</f>
        <v>TO</v>
      </c>
      <c r="E59" s="197">
        <f>[1]Horizontal_Forment!D9</f>
        <v>1</v>
      </c>
      <c r="F59" s="194">
        <f>[1]Horizontal_Forment!E9</f>
        <v>23.777365163427184</v>
      </c>
      <c r="G59" s="37">
        <f>[1]Horizontal_Forment!F9</f>
        <v>29.721706454283979</v>
      </c>
      <c r="H59" s="37">
        <f>[1]Horizontal_Forment!G9</f>
        <v>35.666047745140773</v>
      </c>
      <c r="I59" s="37">
        <f>[1]Horizontal_Forment!H9</f>
        <v>41.610389035997571</v>
      </c>
      <c r="J59" s="37">
        <f>[1]Horizontal_Forment!I9</f>
        <v>47.554730326854369</v>
      </c>
      <c r="K59" s="37">
        <f>[1]Horizontal_Forment!J9</f>
        <v>53.499071617711166</v>
      </c>
      <c r="L59" s="37">
        <f>[1]Horizontal_Forment!K9</f>
        <v>59.443412908567957</v>
      </c>
      <c r="M59" s="37">
        <f>[1]Horizontal_Forment!L9</f>
        <v>65.387754199424762</v>
      </c>
      <c r="N59" s="37">
        <f>[1]Horizontal_Forment!M9</f>
        <v>71.332095490281546</v>
      </c>
      <c r="O59" s="37">
        <f>[1]Horizontal_Forment!N9</f>
        <v>77.276436781138344</v>
      </c>
      <c r="P59" s="37">
        <f>[1]Horizontal_Forment!O9</f>
        <v>83.220778071995142</v>
      </c>
      <c r="Q59" s="37">
        <f>[1]Horizontal_Forment!P9</f>
        <v>89.165119362851939</v>
      </c>
      <c r="R59" s="37">
        <f>[1]Horizontal_Forment!Q9</f>
        <v>95.109460653708737</v>
      </c>
      <c r="S59" s="37">
        <f>[1]Horizontal_Forment!R9</f>
        <v>101.05380194456554</v>
      </c>
      <c r="T59" s="37">
        <f>[1]Horizontal_Forment!S9</f>
        <v>106.99814323542233</v>
      </c>
      <c r="U59" s="37">
        <f>[1]Horizontal_Forment!T9</f>
        <v>112.94248452627913</v>
      </c>
      <c r="V59" s="37">
        <f>[1]Horizontal_Forment!U9</f>
        <v>118.88682581713591</v>
      </c>
      <c r="W59" s="37">
        <f>[1]Horizontal_Forment!V9</f>
        <v>124.83116710799271</v>
      </c>
      <c r="X59" s="37">
        <f>[1]Horizontal_Forment!W9</f>
        <v>130.77550839884952</v>
      </c>
      <c r="Y59" s="37">
        <f>[1]Horizontal_Forment!X9</f>
        <v>136.71984968970631</v>
      </c>
      <c r="Z59" s="37">
        <f>[1]Horizontal_Forment!Y9</f>
        <v>142.66419098056309</v>
      </c>
      <c r="AA59" s="38">
        <f>[1]Horizontal_Forment!Z9</f>
        <v>148.6085322714199</v>
      </c>
      <c r="AB59" s="47"/>
    </row>
    <row r="60" spans="1:28" ht="15.75" customHeight="1" thickBot="1" x14ac:dyDescent="0.3">
      <c r="A60" s="273"/>
      <c r="B60" s="181"/>
      <c r="C60" s="46"/>
      <c r="D60" s="51"/>
      <c r="E60" s="115"/>
      <c r="F60" s="116"/>
      <c r="G60" s="116"/>
      <c r="H60" s="116"/>
      <c r="I60" s="116"/>
      <c r="J60" s="116"/>
      <c r="K60" s="116"/>
      <c r="L60" s="116"/>
      <c r="M60" s="116"/>
      <c r="N60" s="116"/>
      <c r="O60" s="116"/>
      <c r="P60" s="116"/>
      <c r="Q60" s="116"/>
      <c r="R60" s="116"/>
      <c r="S60" s="116"/>
      <c r="T60" s="116"/>
      <c r="U60" s="116"/>
      <c r="V60" s="116"/>
      <c r="W60" s="116"/>
      <c r="X60" s="116"/>
      <c r="Y60" s="116"/>
      <c r="Z60" s="116"/>
      <c r="AA60" s="116"/>
      <c r="AB60" s="47"/>
    </row>
    <row r="61" spans="1:28" ht="15" customHeight="1" thickTop="1" thickBot="1" x14ac:dyDescent="0.3">
      <c r="A61" s="273"/>
      <c r="B61" s="181"/>
      <c r="C61" s="174" t="s">
        <v>146</v>
      </c>
      <c r="D61" s="46"/>
      <c r="E61" s="46"/>
      <c r="F61" s="46"/>
      <c r="G61" s="46"/>
      <c r="H61" s="46"/>
      <c r="I61" s="46"/>
      <c r="J61" s="46"/>
      <c r="K61" s="46"/>
      <c r="L61" s="46"/>
      <c r="M61" s="46"/>
      <c r="N61" s="46"/>
      <c r="O61" s="46"/>
      <c r="P61" s="51" t="s">
        <v>18</v>
      </c>
      <c r="Q61" s="57">
        <f>Q26</f>
        <v>7</v>
      </c>
      <c r="R61" s="207" t="s">
        <v>21</v>
      </c>
      <c r="S61" s="208"/>
      <c r="T61" s="46"/>
      <c r="U61" s="46"/>
      <c r="V61" s="46"/>
      <c r="W61" s="46"/>
      <c r="X61" s="46"/>
      <c r="Y61" s="46"/>
      <c r="Z61" s="46"/>
      <c r="AA61" s="46"/>
      <c r="AB61" s="47"/>
    </row>
    <row r="62" spans="1:28" ht="15" customHeight="1" thickTop="1" thickBot="1" x14ac:dyDescent="0.3">
      <c r="A62" s="273"/>
      <c r="B62" s="181"/>
      <c r="C62" s="174" t="s">
        <v>147</v>
      </c>
      <c r="D62" s="46"/>
      <c r="E62" s="46"/>
      <c r="F62" s="46"/>
      <c r="G62" s="46"/>
      <c r="H62" s="46"/>
      <c r="I62" s="46"/>
      <c r="J62" s="46"/>
      <c r="K62" s="46"/>
      <c r="L62" s="46"/>
      <c r="M62" s="46"/>
      <c r="N62" s="46"/>
      <c r="O62" s="46"/>
      <c r="P62" s="51" t="s">
        <v>18</v>
      </c>
      <c r="Q62" s="22">
        <f>Planting_Steep_Slopes!$F$11</f>
        <v>20.216399253940939</v>
      </c>
      <c r="R62" s="207" t="s">
        <v>21</v>
      </c>
      <c r="S62" s="208"/>
      <c r="T62" s="46"/>
      <c r="U62" s="46"/>
      <c r="V62" s="46"/>
      <c r="W62" s="46"/>
      <c r="X62" s="46"/>
      <c r="Y62" s="46"/>
      <c r="Z62" s="46"/>
      <c r="AA62" s="46"/>
      <c r="AB62" s="47"/>
    </row>
    <row r="63" spans="1:28" s="14" customFormat="1" ht="15" customHeight="1" thickTop="1" x14ac:dyDescent="0.25">
      <c r="A63" s="273"/>
      <c r="B63" s="181"/>
      <c r="C63" s="104"/>
      <c r="D63" s="34"/>
      <c r="E63" s="34"/>
      <c r="F63" s="34"/>
      <c r="G63" s="34"/>
      <c r="H63" s="34"/>
      <c r="I63" s="34"/>
      <c r="J63" s="34"/>
      <c r="K63" s="34"/>
      <c r="L63" s="34"/>
      <c r="M63" s="34"/>
      <c r="N63" s="34"/>
      <c r="O63" s="34"/>
      <c r="P63" s="100"/>
      <c r="Q63" s="105"/>
      <c r="R63" s="101"/>
      <c r="S63" s="101"/>
      <c r="T63" s="34"/>
      <c r="U63" s="34"/>
      <c r="V63" s="34"/>
      <c r="W63" s="34"/>
      <c r="X63" s="34"/>
      <c r="Y63" s="34"/>
      <c r="Z63" s="34"/>
      <c r="AA63" s="34"/>
      <c r="AB63" s="47"/>
    </row>
    <row r="64" spans="1:28" ht="24.95" customHeight="1" thickBot="1" x14ac:dyDescent="0.3">
      <c r="A64" s="273"/>
      <c r="B64" s="181"/>
      <c r="C64" s="172" t="str">
        <f>[2]Horizontal_Forment!D11</f>
        <v>DISTANCE BETWEEN SECOND ROW AND FINAL ROW IN NEAR FLAT CONDITIONS - IN FEET</v>
      </c>
      <c r="D64" s="156"/>
      <c r="E64" s="156"/>
      <c r="F64" s="156"/>
      <c r="G64" s="156"/>
      <c r="H64" s="156"/>
      <c r="I64" s="156"/>
      <c r="J64" s="156"/>
      <c r="K64" s="156"/>
      <c r="L64" s="156"/>
      <c r="M64" s="156"/>
      <c r="N64" s="156"/>
      <c r="O64" s="156"/>
      <c r="P64" s="156"/>
      <c r="Q64" s="156"/>
      <c r="R64" s="156"/>
      <c r="S64" s="156"/>
      <c r="T64" s="156"/>
      <c r="U64" s="156"/>
      <c r="V64" s="156"/>
      <c r="W64" s="156"/>
      <c r="X64" s="156"/>
      <c r="Y64" s="156"/>
      <c r="Z64" s="46"/>
      <c r="AA64" s="46"/>
      <c r="AB64" s="47"/>
    </row>
    <row r="65" spans="1:28" ht="15" customHeight="1" thickBot="1" x14ac:dyDescent="0.3">
      <c r="A65" s="273"/>
      <c r="B65" s="181"/>
      <c r="C65" s="103"/>
      <c r="D65" s="39">
        <f>[2]Horizontal_Forment!D12</f>
        <v>79.933322219576056</v>
      </c>
      <c r="E65" s="40">
        <f>[2]Horizontal_Forment!E12</f>
        <v>99.916652774470066</v>
      </c>
      <c r="F65" s="40">
        <f>[2]Horizontal_Forment!F12</f>
        <v>119.89998332936408</v>
      </c>
      <c r="G65" s="40">
        <f>[2]Horizontal_Forment!G12</f>
        <v>139.88331388425809</v>
      </c>
      <c r="H65" s="40">
        <f>[2]Horizontal_Forment!H12</f>
        <v>159.86664443915211</v>
      </c>
      <c r="I65" s="40">
        <f>[2]Horizontal_Forment!I12</f>
        <v>179.84997499404611</v>
      </c>
      <c r="J65" s="40">
        <f>[2]Horizontal_Forment!J12</f>
        <v>199.83330554894013</v>
      </c>
      <c r="K65" s="40">
        <f>[2]Horizontal_Forment!K12</f>
        <v>219.81663610383416</v>
      </c>
      <c r="L65" s="40">
        <f>[2]Horizontal_Forment!L12</f>
        <v>239.79996665872815</v>
      </c>
      <c r="M65" s="40">
        <f>[2]Horizontal_Forment!M12</f>
        <v>259.78329721362218</v>
      </c>
      <c r="N65" s="40">
        <f>[2]Horizontal_Forment!N12</f>
        <v>279.76662776851617</v>
      </c>
      <c r="O65" s="40">
        <f>[2]Horizontal_Forment!O12</f>
        <v>299.74995832341023</v>
      </c>
      <c r="P65" s="40">
        <f>[2]Horizontal_Forment!P12</f>
        <v>319.73328887830422</v>
      </c>
      <c r="Q65" s="40">
        <f>[2]Horizontal_Forment!Q12</f>
        <v>339.71661943319822</v>
      </c>
      <c r="R65" s="40">
        <f>[2]Horizontal_Forment!R12</f>
        <v>359.69994998809221</v>
      </c>
      <c r="S65" s="40">
        <f>[2]Horizontal_Forment!S12</f>
        <v>379.68328054298627</v>
      </c>
      <c r="T65" s="40">
        <f>[2]Horizontal_Forment!T12</f>
        <v>399.66661109788026</v>
      </c>
      <c r="U65" s="40">
        <f>[2]Horizontal_Forment!U12</f>
        <v>419.64994165277426</v>
      </c>
      <c r="V65" s="40">
        <f>[2]Horizontal_Forment!V12</f>
        <v>439.63327220766831</v>
      </c>
      <c r="W65" s="40">
        <f>[2]Horizontal_Forment!W12</f>
        <v>459.61660276256231</v>
      </c>
      <c r="X65" s="40">
        <f>[2]Horizontal_Forment!X12</f>
        <v>479.5999333174563</v>
      </c>
      <c r="Y65" s="41">
        <f>[2]Horizontal_Forment!Y12</f>
        <v>499.58326387235036</v>
      </c>
      <c r="Z65" s="188"/>
      <c r="AA65" s="103"/>
      <c r="AB65" s="47"/>
    </row>
    <row r="66" spans="1:28" ht="15" customHeight="1" thickBot="1" x14ac:dyDescent="0.3">
      <c r="A66" s="273"/>
      <c r="B66" s="181"/>
      <c r="C66" s="103"/>
      <c r="D66" s="103"/>
      <c r="E66" s="103"/>
      <c r="F66" s="116"/>
      <c r="G66" s="116"/>
      <c r="H66" s="116"/>
      <c r="I66" s="116"/>
      <c r="J66" s="116"/>
      <c r="K66" s="116"/>
      <c r="L66" s="116"/>
      <c r="M66" s="116"/>
      <c r="N66" s="116"/>
      <c r="O66" s="116"/>
      <c r="P66" s="116"/>
      <c r="Q66" s="117"/>
      <c r="R66" s="117"/>
      <c r="S66" s="117"/>
      <c r="T66" s="116"/>
      <c r="U66" s="116"/>
      <c r="V66" s="116"/>
      <c r="W66" s="116"/>
      <c r="X66" s="116"/>
      <c r="Y66" s="116"/>
      <c r="Z66" s="116"/>
      <c r="AA66" s="116"/>
      <c r="AB66" s="47"/>
    </row>
    <row r="67" spans="1:28" ht="15" customHeight="1" thickBot="1" x14ac:dyDescent="0.3">
      <c r="A67" s="273"/>
      <c r="B67" s="181"/>
      <c r="C67" s="221" t="s">
        <v>148</v>
      </c>
      <c r="D67" s="221"/>
      <c r="E67" s="221"/>
      <c r="F67" s="221"/>
      <c r="G67" s="221"/>
      <c r="H67" s="221"/>
      <c r="I67" s="221"/>
      <c r="J67" s="221"/>
      <c r="K67" s="221"/>
      <c r="L67" s="221"/>
      <c r="M67" s="221"/>
      <c r="N67" s="221"/>
      <c r="O67" s="221"/>
      <c r="P67" s="51" t="s">
        <v>18</v>
      </c>
      <c r="Q67" s="118">
        <f>SUM(20*Q21)</f>
        <v>102</v>
      </c>
      <c r="R67" s="211" t="s">
        <v>21</v>
      </c>
      <c r="S67" s="212"/>
      <c r="T67" s="46"/>
      <c r="U67" s="46"/>
      <c r="V67" s="46"/>
      <c r="W67" s="46"/>
      <c r="X67" s="46"/>
      <c r="Y67" s="46"/>
      <c r="Z67" s="46"/>
      <c r="AA67" s="46"/>
      <c r="AB67" s="47"/>
    </row>
    <row r="68" spans="1:28" ht="15" customHeight="1" thickTop="1" thickBot="1" x14ac:dyDescent="0.3">
      <c r="A68" s="273"/>
      <c r="B68" s="181"/>
      <c r="C68" s="220" t="s">
        <v>149</v>
      </c>
      <c r="D68" s="220"/>
      <c r="E68" s="220"/>
      <c r="F68" s="220"/>
      <c r="G68" s="220"/>
      <c r="H68" s="220"/>
      <c r="I68" s="220"/>
      <c r="J68" s="220"/>
      <c r="K68" s="220"/>
      <c r="L68" s="220"/>
      <c r="M68" s="220"/>
      <c r="N68" s="220"/>
      <c r="O68" s="220"/>
      <c r="P68" s="42" t="s">
        <v>18</v>
      </c>
      <c r="Q68" s="43">
        <f>IF((SUM((Q42)-2))&lt;=0,SUM((0*Q62)+(Q49+Q67+2)),SUM(((Q42)-2)*Q62)+(Q49+Q67+2))</f>
        <v>139</v>
      </c>
      <c r="R68" s="207" t="s">
        <v>21</v>
      </c>
      <c r="S68" s="208"/>
      <c r="T68" s="44" t="s">
        <v>65</v>
      </c>
      <c r="U68" s="45"/>
      <c r="V68" s="45"/>
      <c r="W68" s="45"/>
      <c r="X68" s="46"/>
      <c r="Y68" s="46"/>
      <c r="Z68" s="46"/>
      <c r="AA68" s="46"/>
      <c r="AB68" s="47"/>
    </row>
    <row r="69" spans="1:28" ht="15" customHeight="1" thickTop="1" x14ac:dyDescent="0.25">
      <c r="A69" s="274"/>
      <c r="B69" s="182"/>
      <c r="C69" s="99"/>
      <c r="D69" s="99"/>
      <c r="E69" s="99"/>
      <c r="F69" s="99"/>
      <c r="G69" s="99"/>
      <c r="H69" s="99"/>
      <c r="I69" s="99"/>
      <c r="J69" s="99"/>
      <c r="K69" s="99"/>
      <c r="L69" s="99"/>
      <c r="M69" s="99"/>
      <c r="N69" s="99"/>
      <c r="O69" s="99"/>
      <c r="P69" s="100"/>
      <c r="Q69" s="108"/>
      <c r="R69" s="101"/>
      <c r="S69" s="101"/>
      <c r="T69" s="104"/>
      <c r="U69" s="104"/>
      <c r="V69" s="104"/>
      <c r="W69" s="104"/>
      <c r="X69" s="34"/>
      <c r="Y69" s="34"/>
      <c r="Z69" s="34"/>
      <c r="AA69" s="34"/>
      <c r="AB69" s="52"/>
    </row>
    <row r="70" spans="1:28" ht="24.95" customHeight="1" thickBot="1" x14ac:dyDescent="0.3">
      <c r="A70" s="275" t="s">
        <v>136</v>
      </c>
      <c r="B70" s="183"/>
      <c r="C70" s="175" t="s">
        <v>47</v>
      </c>
      <c r="D70" s="156"/>
      <c r="E70" s="156"/>
      <c r="F70" s="156"/>
      <c r="G70" s="156"/>
      <c r="H70" s="156"/>
      <c r="I70" s="156"/>
      <c r="J70" s="156"/>
      <c r="K70" s="156"/>
      <c r="L70" s="156"/>
      <c r="M70" s="156"/>
      <c r="N70" s="156"/>
      <c r="O70" s="156"/>
      <c r="P70" s="156"/>
      <c r="Q70" s="156"/>
      <c r="R70" s="156"/>
      <c r="S70" s="156"/>
      <c r="T70" s="156"/>
      <c r="U70" s="156"/>
      <c r="V70" s="156"/>
      <c r="W70" s="156"/>
      <c r="X70" s="156"/>
      <c r="Y70" s="156"/>
      <c r="Z70" s="156"/>
      <c r="AA70" s="156"/>
      <c r="AB70" s="94"/>
    </row>
    <row r="71" spans="1:28" ht="15" customHeight="1" thickTop="1" thickBot="1" x14ac:dyDescent="0.3">
      <c r="A71" s="276"/>
      <c r="B71" s="178"/>
      <c r="C71" s="174" t="s">
        <v>150</v>
      </c>
      <c r="D71" s="109"/>
      <c r="E71" s="109"/>
      <c r="F71" s="109"/>
      <c r="G71" s="109"/>
      <c r="H71" s="109"/>
      <c r="I71" s="109"/>
      <c r="J71" s="110" t="s">
        <v>67</v>
      </c>
      <c r="K71" s="111">
        <f>Ditch_Area_Reducing!$E$11</f>
        <v>559.21499999999992</v>
      </c>
      <c r="L71" s="112" t="s">
        <v>68</v>
      </c>
      <c r="M71" s="30">
        <f>Ditch_Area_Reducing!$E$15</f>
        <v>0</v>
      </c>
      <c r="N71" s="51" t="s">
        <v>66</v>
      </c>
      <c r="O71" s="113">
        <f>Ditch_Area_Reducing!$E$11</f>
        <v>559.21499999999992</v>
      </c>
      <c r="P71" s="51" t="s">
        <v>69</v>
      </c>
      <c r="Q71" s="222">
        <f>SUM(Ditch_Area_Reducing!$H$19/Ditch_Area_Reducing!$H$23)</f>
        <v>1</v>
      </c>
      <c r="R71" s="223"/>
      <c r="S71" s="224"/>
      <c r="T71" s="46"/>
      <c r="U71" s="46"/>
      <c r="V71" s="46"/>
      <c r="W71" s="246" t="s">
        <v>142</v>
      </c>
      <c r="X71" s="246"/>
      <c r="Y71" s="246"/>
      <c r="Z71" s="149"/>
      <c r="AA71" s="46"/>
      <c r="AB71" s="47"/>
    </row>
    <row r="72" spans="1:28" ht="15" customHeight="1" thickTop="1" thickBot="1" x14ac:dyDescent="0.3">
      <c r="A72" s="276"/>
      <c r="B72" s="178"/>
      <c r="C72" s="221" t="s">
        <v>151</v>
      </c>
      <c r="D72" s="221"/>
      <c r="E72" s="221"/>
      <c r="F72" s="221"/>
      <c r="G72" s="221"/>
      <c r="H72" s="221"/>
      <c r="I72" s="221"/>
      <c r="J72" s="221"/>
      <c r="K72" s="221"/>
      <c r="L72" s="221"/>
      <c r="M72" s="221"/>
      <c r="N72" s="221"/>
      <c r="O72" s="221"/>
      <c r="P72" s="51" t="s">
        <v>18</v>
      </c>
      <c r="Q72" s="43">
        <f>SUM(Q67*Q71)</f>
        <v>102</v>
      </c>
      <c r="R72" s="207" t="s">
        <v>21</v>
      </c>
      <c r="S72" s="208"/>
      <c r="T72" s="46"/>
      <c r="U72" s="46"/>
      <c r="V72" s="46"/>
      <c r="W72" s="243">
        <f>$Q$21</f>
        <v>5.0999999999999996</v>
      </c>
      <c r="X72" s="244"/>
      <c r="Y72" s="245"/>
      <c r="Z72" s="149" t="s">
        <v>21</v>
      </c>
      <c r="AA72" s="46"/>
      <c r="AB72" s="47"/>
    </row>
    <row r="73" spans="1:28" ht="15" customHeight="1" thickTop="1" thickBot="1" x14ac:dyDescent="0.3">
      <c r="A73" s="276"/>
      <c r="B73" s="178"/>
      <c r="C73" s="220" t="s">
        <v>152</v>
      </c>
      <c r="D73" s="220"/>
      <c r="E73" s="220"/>
      <c r="F73" s="220"/>
      <c r="G73" s="220"/>
      <c r="H73" s="220"/>
      <c r="I73" s="220"/>
      <c r="J73" s="220"/>
      <c r="K73" s="220"/>
      <c r="L73" s="220"/>
      <c r="M73" s="220"/>
      <c r="N73" s="220"/>
      <c r="O73" s="220"/>
      <c r="P73" s="51" t="s">
        <v>18</v>
      </c>
      <c r="Q73" s="43">
        <f>IF((SUM((Q42)-2))&lt;=0,SUM((0*Q62)+(Q49+Q72+2)),SUM(((Q42)-2)*Q62)+(Q49+Q72+2))</f>
        <v>139</v>
      </c>
      <c r="R73" s="207" t="s">
        <v>64</v>
      </c>
      <c r="S73" s="208"/>
      <c r="T73" s="44" t="s">
        <v>65</v>
      </c>
      <c r="U73" s="45"/>
      <c r="V73" s="45"/>
      <c r="W73" s="46"/>
      <c r="X73" s="46"/>
      <c r="Y73" s="46"/>
      <c r="Z73" s="46"/>
      <c r="AA73" s="46"/>
      <c r="AB73" s="47"/>
    </row>
    <row r="74" spans="1:28" ht="15" customHeight="1" thickTop="1" x14ac:dyDescent="0.25">
      <c r="A74" s="276"/>
      <c r="B74" s="178"/>
      <c r="C74" s="59"/>
      <c r="D74" s="59"/>
      <c r="E74" s="59"/>
      <c r="F74" s="59"/>
      <c r="G74" s="59"/>
      <c r="H74" s="59"/>
      <c r="I74" s="59"/>
      <c r="J74" s="59"/>
      <c r="K74" s="59"/>
      <c r="L74" s="59"/>
      <c r="M74" s="59"/>
      <c r="N74" s="59"/>
      <c r="O74" s="59"/>
      <c r="P74" s="51"/>
      <c r="Q74" s="106"/>
      <c r="R74" s="95"/>
      <c r="S74" s="95"/>
      <c r="T74" s="45"/>
      <c r="U74" s="45"/>
      <c r="V74" s="45"/>
      <c r="W74" s="46"/>
      <c r="X74" s="46"/>
      <c r="Y74" s="46"/>
      <c r="Z74" s="46"/>
      <c r="AA74" s="46"/>
      <c r="AB74" s="47"/>
    </row>
    <row r="75" spans="1:28" ht="24.95" customHeight="1" thickBot="1" x14ac:dyDescent="0.3">
      <c r="A75" s="276"/>
      <c r="B75" s="178"/>
      <c r="C75" s="175" t="s">
        <v>154</v>
      </c>
      <c r="D75" s="156"/>
      <c r="E75" s="156"/>
      <c r="F75" s="156"/>
      <c r="G75" s="156"/>
      <c r="H75" s="156"/>
      <c r="I75" s="156"/>
      <c r="J75" s="156"/>
      <c r="K75" s="156"/>
      <c r="L75" s="156"/>
      <c r="M75" s="156"/>
      <c r="N75" s="156"/>
      <c r="O75" s="156"/>
      <c r="P75" s="156"/>
      <c r="Q75" s="156"/>
      <c r="R75" s="156"/>
      <c r="S75" s="156"/>
      <c r="T75" s="156"/>
      <c r="U75" s="156"/>
      <c r="V75" s="107"/>
      <c r="W75" s="278" t="s">
        <v>142</v>
      </c>
      <c r="X75" s="278"/>
      <c r="Y75" s="278"/>
      <c r="Z75" s="187"/>
      <c r="AA75" s="107"/>
      <c r="AB75" s="47"/>
    </row>
    <row r="76" spans="1:28" ht="16.5" customHeight="1" thickTop="1" thickBot="1" x14ac:dyDescent="0.3">
      <c r="A76" s="276"/>
      <c r="B76" s="178"/>
      <c r="C76" s="220" t="s">
        <v>153</v>
      </c>
      <c r="D76" s="220"/>
      <c r="E76" s="220"/>
      <c r="F76" s="220"/>
      <c r="G76" s="220"/>
      <c r="H76" s="220"/>
      <c r="I76" s="220"/>
      <c r="J76" s="220"/>
      <c r="K76" s="220"/>
      <c r="L76" s="220"/>
      <c r="M76" s="220"/>
      <c r="N76" s="220"/>
      <c r="O76" s="220"/>
      <c r="P76" s="51" t="s">
        <v>18</v>
      </c>
      <c r="Q76" s="43">
        <f>Reduced_Setback!$D$12</f>
        <v>98.195999999999998</v>
      </c>
      <c r="R76" s="209" t="s">
        <v>21</v>
      </c>
      <c r="S76" s="210"/>
      <c r="T76" s="46"/>
      <c r="U76" s="46"/>
      <c r="V76" s="46"/>
      <c r="W76" s="243">
        <f>Q26</f>
        <v>7</v>
      </c>
      <c r="X76" s="244"/>
      <c r="Y76" s="245"/>
      <c r="Z76" s="149" t="s">
        <v>21</v>
      </c>
      <c r="AA76" s="46"/>
      <c r="AB76" s="47"/>
    </row>
    <row r="77" spans="1:28" ht="16.5" customHeight="1" thickTop="1" thickBot="1" x14ac:dyDescent="0.3">
      <c r="A77" s="276"/>
      <c r="B77" s="178"/>
      <c r="C77" s="221" t="s">
        <v>149</v>
      </c>
      <c r="D77" s="221"/>
      <c r="E77" s="221"/>
      <c r="F77" s="221"/>
      <c r="G77" s="221"/>
      <c r="H77" s="221"/>
      <c r="I77" s="221"/>
      <c r="J77" s="221"/>
      <c r="K77" s="221"/>
      <c r="L77" s="221"/>
      <c r="M77" s="221"/>
      <c r="N77" s="221"/>
      <c r="O77" s="221"/>
      <c r="P77" s="51" t="s">
        <v>18</v>
      </c>
      <c r="Q77" s="43">
        <f>IF((SUM((Q42)-2))&lt;=0,SUM((0*Q62)+(Q49+Q76+2)),SUM(((Q42)-2)*Q62)+(Q49+Q76+2))</f>
        <v>135.196</v>
      </c>
      <c r="R77" s="209" t="s">
        <v>64</v>
      </c>
      <c r="S77" s="210"/>
      <c r="T77" s="44" t="s">
        <v>65</v>
      </c>
      <c r="U77" s="45"/>
      <c r="V77" s="46"/>
      <c r="W77" s="46"/>
      <c r="X77" s="46"/>
      <c r="Y77" s="46"/>
      <c r="Z77" s="46"/>
      <c r="AA77" s="46"/>
      <c r="AB77" s="47"/>
    </row>
    <row r="78" spans="1:28" ht="19.5" thickTop="1" x14ac:dyDescent="0.25">
      <c r="A78" s="276"/>
      <c r="B78" s="178"/>
      <c r="C78" s="46"/>
      <c r="D78" s="46"/>
      <c r="E78" s="46"/>
      <c r="F78" s="46"/>
      <c r="G78" s="46"/>
      <c r="H78" s="46"/>
      <c r="I78" s="46"/>
      <c r="J78" s="46"/>
      <c r="K78" s="46"/>
      <c r="L78" s="46"/>
      <c r="M78" s="46"/>
      <c r="N78" s="46"/>
      <c r="O78" s="46"/>
      <c r="P78" s="46"/>
      <c r="Q78" s="46"/>
      <c r="R78" s="46"/>
      <c r="S78" s="46"/>
      <c r="T78" s="46"/>
      <c r="U78" s="46"/>
      <c r="V78" s="46"/>
      <c r="W78" s="46"/>
      <c r="X78" s="46"/>
      <c r="Y78" s="46"/>
      <c r="Z78" s="46"/>
      <c r="AA78" s="46"/>
      <c r="AB78" s="47"/>
    </row>
    <row r="79" spans="1:28" ht="19.5" thickBot="1" x14ac:dyDescent="0.3">
      <c r="A79" s="277"/>
      <c r="B79" s="184"/>
      <c r="C79" s="54"/>
      <c r="D79" s="54"/>
      <c r="E79" s="54"/>
      <c r="F79" s="54"/>
      <c r="G79" s="54"/>
      <c r="H79" s="54"/>
      <c r="I79" s="54"/>
      <c r="J79" s="54"/>
      <c r="K79" s="54"/>
      <c r="L79" s="54"/>
      <c r="M79" s="54"/>
      <c r="N79" s="54"/>
      <c r="O79" s="55"/>
      <c r="P79" s="54"/>
      <c r="Q79" s="54"/>
      <c r="R79" s="54"/>
      <c r="S79" s="54"/>
      <c r="T79" s="54"/>
      <c r="U79" s="54"/>
      <c r="V79" s="54"/>
      <c r="W79" s="54"/>
      <c r="X79" s="54"/>
      <c r="Y79" s="54"/>
      <c r="Z79" s="54"/>
      <c r="AA79" s="54"/>
      <c r="AB79" s="56"/>
    </row>
    <row r="80" spans="1:28" ht="15.75" thickTop="1" x14ac:dyDescent="0.25">
      <c r="Q80" s="31"/>
    </row>
    <row r="81" spans="15:17" x14ac:dyDescent="0.25">
      <c r="Q81" s="3"/>
    </row>
    <row r="82" spans="15:17" x14ac:dyDescent="0.25">
      <c r="Q82" s="3"/>
    </row>
    <row r="83" spans="15:17" x14ac:dyDescent="0.25">
      <c r="O83" s="31"/>
      <c r="Q83" s="31"/>
    </row>
  </sheetData>
  <sheetProtection selectLockedCells="1"/>
  <mergeCells count="108">
    <mergeCell ref="A44:A69"/>
    <mergeCell ref="A70:A79"/>
    <mergeCell ref="W75:Y75"/>
    <mergeCell ref="W76:Y76"/>
    <mergeCell ref="W71:Y71"/>
    <mergeCell ref="W72:Y72"/>
    <mergeCell ref="A39:A43"/>
    <mergeCell ref="C40:O41"/>
    <mergeCell ref="X49:Y49"/>
    <mergeCell ref="C49:O49"/>
    <mergeCell ref="V49:W49"/>
    <mergeCell ref="V46:W46"/>
    <mergeCell ref="V47:W47"/>
    <mergeCell ref="V48:W48"/>
    <mergeCell ref="X48:Y48"/>
    <mergeCell ref="X46:Y46"/>
    <mergeCell ref="X47:Y47"/>
    <mergeCell ref="F55:AA55"/>
    <mergeCell ref="C50:O50"/>
    <mergeCell ref="R50:S50"/>
    <mergeCell ref="V45:W45"/>
    <mergeCell ref="Z48:AA48"/>
    <mergeCell ref="X45:Y45"/>
    <mergeCell ref="Z45:AA45"/>
    <mergeCell ref="D9:O9"/>
    <mergeCell ref="Q9:S9"/>
    <mergeCell ref="D10:O10"/>
    <mergeCell ref="Q10:S10"/>
    <mergeCell ref="C42:O42"/>
    <mergeCell ref="Q34:S34"/>
    <mergeCell ref="Q33:S33"/>
    <mergeCell ref="A3:A37"/>
    <mergeCell ref="D6:O6"/>
    <mergeCell ref="Q6:Y6"/>
    <mergeCell ref="D7:O7"/>
    <mergeCell ref="Q7:S7"/>
    <mergeCell ref="D8:O8"/>
    <mergeCell ref="Q8:S8"/>
    <mergeCell ref="U30:W30"/>
    <mergeCell ref="U34:W34"/>
    <mergeCell ref="U35:W35"/>
    <mergeCell ref="Q36:S36"/>
    <mergeCell ref="D36:O36"/>
    <mergeCell ref="X19:Z20"/>
    <mergeCell ref="Q15:S15"/>
    <mergeCell ref="Q16:S16"/>
    <mergeCell ref="Q17:S17"/>
    <mergeCell ref="Q18:S18"/>
    <mergeCell ref="Q14:S14"/>
    <mergeCell ref="Q20:S20"/>
    <mergeCell ref="Q21:S21"/>
    <mergeCell ref="C26:O26"/>
    <mergeCell ref="C27:O27"/>
    <mergeCell ref="D33:O33"/>
    <mergeCell ref="Q35:S35"/>
    <mergeCell ref="D35:O35"/>
    <mergeCell ref="AC42:AO43"/>
    <mergeCell ref="U40:W40"/>
    <mergeCell ref="U39:W39"/>
    <mergeCell ref="Q19:S19"/>
    <mergeCell ref="D34:O34"/>
    <mergeCell ref="D14:O14"/>
    <mergeCell ref="D20:O20"/>
    <mergeCell ref="D21:O21"/>
    <mergeCell ref="C15:O15"/>
    <mergeCell ref="C16:O16"/>
    <mergeCell ref="C17:O17"/>
    <mergeCell ref="C18:O18"/>
    <mergeCell ref="C19:O19"/>
    <mergeCell ref="D22:O22"/>
    <mergeCell ref="C53:E53"/>
    <mergeCell ref="C54:E55"/>
    <mergeCell ref="F53:AA53"/>
    <mergeCell ref="C47:Q47"/>
    <mergeCell ref="C48:O48"/>
    <mergeCell ref="Z49:AA49"/>
    <mergeCell ref="Z46:AA46"/>
    <mergeCell ref="Z47:AA47"/>
    <mergeCell ref="Q22:S22"/>
    <mergeCell ref="Q26:S26"/>
    <mergeCell ref="Q27:S27"/>
    <mergeCell ref="C24:O24"/>
    <mergeCell ref="C25:O25"/>
    <mergeCell ref="C44:AB44"/>
    <mergeCell ref="A1:AB2"/>
    <mergeCell ref="R73:S73"/>
    <mergeCell ref="R76:S76"/>
    <mergeCell ref="R77:S77"/>
    <mergeCell ref="R68:S68"/>
    <mergeCell ref="R67:S67"/>
    <mergeCell ref="R61:S61"/>
    <mergeCell ref="R62:S62"/>
    <mergeCell ref="R49:S49"/>
    <mergeCell ref="R40:S40"/>
    <mergeCell ref="R42:S42"/>
    <mergeCell ref="C29:O29"/>
    <mergeCell ref="Q29:S29"/>
    <mergeCell ref="U29:W29"/>
    <mergeCell ref="C30:O30"/>
    <mergeCell ref="Q30:S30"/>
    <mergeCell ref="C76:O76"/>
    <mergeCell ref="C77:O77"/>
    <mergeCell ref="Q71:S71"/>
    <mergeCell ref="R72:S72"/>
    <mergeCell ref="C72:O72"/>
    <mergeCell ref="C73:O73"/>
    <mergeCell ref="C67:O67"/>
    <mergeCell ref="C68:O68"/>
  </mergeCells>
  <pageMargins left="0.7" right="0.7" top="0.75" bottom="0.75" header="0.3" footer="0.3"/>
  <pageSetup scale="54" fitToWidth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2"/>
  <sheetViews>
    <sheetView showGridLines="0" workbookViewId="0">
      <selection activeCell="F17" sqref="F17"/>
    </sheetView>
  </sheetViews>
  <sheetFormatPr defaultRowHeight="15" x14ac:dyDescent="0.25"/>
  <cols>
    <col min="3" max="3" width="18.140625" customWidth="1"/>
    <col min="4" max="4" width="16.28515625" customWidth="1"/>
    <col min="5" max="5" width="17.28515625" customWidth="1"/>
    <col min="6" max="6" width="20" customWidth="1"/>
  </cols>
  <sheetData>
    <row r="1" spans="1:15" ht="18" x14ac:dyDescent="0.25">
      <c r="A1" s="291" t="s">
        <v>2</v>
      </c>
      <c r="B1" s="291"/>
      <c r="C1" s="291"/>
      <c r="D1" s="291"/>
      <c r="E1" s="291"/>
      <c r="F1" s="291"/>
      <c r="G1" s="291"/>
    </row>
    <row r="2" spans="1:15" x14ac:dyDescent="0.25">
      <c r="A2" s="23" t="s">
        <v>39</v>
      </c>
      <c r="B2" s="23"/>
      <c r="C2" s="23"/>
      <c r="D2" s="23"/>
      <c r="E2" s="23"/>
      <c r="F2" s="23"/>
      <c r="G2" s="23"/>
    </row>
    <row r="3" spans="1:15" x14ac:dyDescent="0.25">
      <c r="A3" s="23"/>
      <c r="B3" s="23"/>
      <c r="C3" s="23"/>
      <c r="D3" s="23"/>
      <c r="E3" s="23"/>
      <c r="F3" s="23"/>
      <c r="G3" s="23"/>
    </row>
    <row r="4" spans="1:15" x14ac:dyDescent="0.25">
      <c r="A4" s="23" t="s">
        <v>38</v>
      </c>
      <c r="B4" s="29"/>
      <c r="C4" s="23"/>
      <c r="D4" s="23"/>
      <c r="E4" s="23"/>
      <c r="F4" s="23"/>
      <c r="G4" s="23"/>
      <c r="O4" s="2"/>
    </row>
    <row r="5" spans="1:15" x14ac:dyDescent="0.25">
      <c r="A5" s="23"/>
      <c r="B5" s="23"/>
      <c r="C5" s="23"/>
      <c r="D5" s="23"/>
      <c r="E5" s="23"/>
      <c r="F5" s="23"/>
      <c r="G5" s="23"/>
      <c r="O5" s="2"/>
    </row>
    <row r="6" spans="1:15" x14ac:dyDescent="0.25">
      <c r="A6" s="23"/>
      <c r="B6" s="23" t="s">
        <v>0</v>
      </c>
      <c r="C6" s="23"/>
      <c r="D6" s="23"/>
      <c r="E6" s="23"/>
      <c r="F6" s="23"/>
      <c r="G6" s="23"/>
      <c r="O6" s="2"/>
    </row>
    <row r="7" spans="1:15" x14ac:dyDescent="0.25">
      <c r="A7" s="23"/>
      <c r="B7" s="23" t="s">
        <v>1</v>
      </c>
      <c r="C7" s="23"/>
      <c r="D7" s="23"/>
      <c r="E7" s="23"/>
      <c r="F7" s="23"/>
      <c r="G7" s="23"/>
      <c r="O7" s="2"/>
    </row>
    <row r="8" spans="1:15" x14ac:dyDescent="0.25">
      <c r="A8" s="23"/>
      <c r="B8" s="23"/>
      <c r="C8" s="23"/>
      <c r="D8" s="23"/>
      <c r="E8" s="23"/>
      <c r="F8" s="23"/>
      <c r="G8" s="23"/>
      <c r="O8" s="2"/>
    </row>
    <row r="9" spans="1:15" x14ac:dyDescent="0.25">
      <c r="A9" s="23"/>
      <c r="B9" s="23"/>
      <c r="C9" s="119" t="s">
        <v>117</v>
      </c>
      <c r="D9" s="119"/>
      <c r="E9" s="119"/>
      <c r="F9" s="23"/>
      <c r="G9" s="23"/>
      <c r="O9" s="2"/>
    </row>
    <row r="10" spans="1:15" x14ac:dyDescent="0.25">
      <c r="A10" s="23"/>
      <c r="B10" s="23"/>
      <c r="C10" s="119"/>
      <c r="D10" s="119"/>
      <c r="E10" s="119"/>
      <c r="F10" s="23"/>
      <c r="G10" s="23"/>
      <c r="O10" s="2"/>
    </row>
    <row r="11" spans="1:15" x14ac:dyDescent="0.25">
      <c r="A11" s="23"/>
      <c r="B11" s="23"/>
      <c r="C11" s="23" t="s">
        <v>6</v>
      </c>
      <c r="D11" s="23"/>
      <c r="E11" s="23"/>
      <c r="F11" s="23"/>
      <c r="G11" s="23"/>
      <c r="O11" s="2"/>
    </row>
    <row r="12" spans="1:15" x14ac:dyDescent="0.25">
      <c r="A12" s="23"/>
      <c r="B12" s="23"/>
      <c r="C12" s="23" t="s">
        <v>3</v>
      </c>
      <c r="D12" s="23"/>
      <c r="E12" s="23"/>
      <c r="F12" s="23"/>
      <c r="G12" s="23"/>
      <c r="O12" s="2"/>
    </row>
    <row r="13" spans="1:15" x14ac:dyDescent="0.25">
      <c r="A13" s="23"/>
      <c r="B13" s="23"/>
      <c r="C13" s="23" t="s">
        <v>4</v>
      </c>
      <c r="D13" s="23"/>
      <c r="E13" s="23"/>
      <c r="F13" s="23"/>
      <c r="G13" s="23"/>
      <c r="O13" s="2"/>
    </row>
    <row r="14" spans="1:15" x14ac:dyDescent="0.25">
      <c r="A14" s="23"/>
      <c r="B14" s="23"/>
      <c r="C14" s="23" t="s">
        <v>5</v>
      </c>
      <c r="D14" s="23"/>
      <c r="E14" s="23"/>
      <c r="F14" s="23"/>
      <c r="G14" s="23"/>
      <c r="O14" s="2"/>
    </row>
    <row r="15" spans="1:15" ht="15.75" thickBot="1" x14ac:dyDescent="0.3">
      <c r="A15" s="23"/>
      <c r="B15" s="23"/>
      <c r="C15" s="23"/>
      <c r="D15" s="23"/>
      <c r="E15" s="23"/>
      <c r="F15" s="23"/>
      <c r="G15" s="23"/>
      <c r="O15" s="2"/>
    </row>
    <row r="16" spans="1:15" ht="33.75" customHeight="1" thickTop="1" thickBot="1" x14ac:dyDescent="0.3">
      <c r="A16" s="23"/>
      <c r="B16" s="23"/>
      <c r="C16" s="7" t="s">
        <v>10</v>
      </c>
      <c r="D16" s="7" t="s">
        <v>11</v>
      </c>
      <c r="E16" s="10" t="s">
        <v>12</v>
      </c>
      <c r="F16" s="6" t="s">
        <v>13</v>
      </c>
      <c r="G16" s="23"/>
      <c r="O16" s="2"/>
    </row>
    <row r="17" spans="1:15" ht="15.75" thickBot="1" x14ac:dyDescent="0.3">
      <c r="A17" s="23"/>
      <c r="B17" s="23"/>
      <c r="C17" s="12">
        <f>Project_Data!$Q$21</f>
        <v>5.0999999999999996</v>
      </c>
      <c r="D17" s="12">
        <f>Project_Data!$Q$22</f>
        <v>90</v>
      </c>
      <c r="E17" s="13">
        <f>SUM((Project_Data!$Q$20))</f>
        <v>0.5</v>
      </c>
      <c r="F17" s="61">
        <f>SUM((C17)*(SIN(RADIANS(D17)))*((12)+(49*E17)+(7*(POWER(E17,2)))-(37*(POWER(E17,3)))))</f>
        <v>171.48749999999998</v>
      </c>
      <c r="G17" s="23"/>
      <c r="O17" s="2"/>
    </row>
    <row r="18" spans="1:15" ht="15.75" thickTop="1" x14ac:dyDescent="0.25">
      <c r="A18" s="23"/>
      <c r="B18" s="23"/>
      <c r="C18" s="23"/>
      <c r="D18" s="23"/>
      <c r="E18" s="23"/>
      <c r="F18" s="23"/>
      <c r="G18" s="23"/>
      <c r="O18" s="2"/>
    </row>
    <row r="19" spans="1:15" x14ac:dyDescent="0.25">
      <c r="A19" s="23"/>
      <c r="B19" s="23"/>
      <c r="C19" s="23"/>
      <c r="D19" s="23"/>
      <c r="E19" s="23"/>
      <c r="F19" s="23"/>
      <c r="G19" s="23"/>
    </row>
    <row r="22" spans="1:15" x14ac:dyDescent="0.25">
      <c r="C22" s="1"/>
      <c r="D22" s="1"/>
      <c r="E22" s="1"/>
      <c r="F22" s="1"/>
      <c r="G22" s="1"/>
      <c r="H22" s="1"/>
      <c r="M22" s="1"/>
    </row>
  </sheetData>
  <mergeCells count="1">
    <mergeCell ref="A1:G1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showGridLines="0" workbookViewId="0">
      <selection activeCell="C9" sqref="C9"/>
    </sheetView>
  </sheetViews>
  <sheetFormatPr defaultRowHeight="15" x14ac:dyDescent="0.25"/>
  <cols>
    <col min="2" max="2" width="11.42578125" customWidth="1"/>
    <col min="3" max="3" width="12.140625" customWidth="1"/>
  </cols>
  <sheetData>
    <row r="1" spans="1:7" ht="18" x14ac:dyDescent="0.25">
      <c r="A1" s="291" t="s">
        <v>35</v>
      </c>
      <c r="B1" s="291"/>
      <c r="C1" s="291"/>
      <c r="D1" s="291"/>
      <c r="E1" s="291"/>
      <c r="F1" s="291"/>
      <c r="G1" s="291"/>
    </row>
    <row r="2" spans="1:7" x14ac:dyDescent="0.25">
      <c r="A2" s="23" t="s">
        <v>72</v>
      </c>
      <c r="B2" s="23"/>
      <c r="C2" s="23"/>
      <c r="D2" s="23"/>
      <c r="E2" s="23"/>
      <c r="F2" s="23"/>
      <c r="G2" s="23"/>
    </row>
    <row r="3" spans="1:7" x14ac:dyDescent="0.25">
      <c r="A3" s="24" t="s">
        <v>29</v>
      </c>
      <c r="B3" s="27">
        <f>Project_Data!$Q$21</f>
        <v>5.0999999999999996</v>
      </c>
      <c r="C3" s="23" t="s">
        <v>31</v>
      </c>
      <c r="D3" s="23"/>
      <c r="E3" s="23"/>
      <c r="F3" s="23"/>
      <c r="G3" s="23"/>
    </row>
    <row r="4" spans="1:7" x14ac:dyDescent="0.25">
      <c r="A4" s="24" t="s">
        <v>32</v>
      </c>
      <c r="B4" s="27">
        <f>Project_Data!$Q$26</f>
        <v>7</v>
      </c>
      <c r="C4" s="23" t="s">
        <v>33</v>
      </c>
      <c r="D4" s="23"/>
      <c r="E4" s="23"/>
      <c r="F4" s="23"/>
      <c r="G4" s="23"/>
    </row>
    <row r="5" spans="1:7" x14ac:dyDescent="0.25">
      <c r="A5" s="23"/>
      <c r="B5" s="25" t="s">
        <v>34</v>
      </c>
      <c r="C5" s="23" t="s">
        <v>35</v>
      </c>
      <c r="D5" s="23"/>
      <c r="E5" s="23"/>
      <c r="F5" s="23"/>
      <c r="G5" s="23"/>
    </row>
    <row r="6" spans="1:7" x14ac:dyDescent="0.25">
      <c r="A6" s="23"/>
      <c r="B6" s="25"/>
      <c r="C6" s="23"/>
      <c r="D6" s="23"/>
      <c r="E6" s="23"/>
      <c r="F6" s="23"/>
      <c r="G6" s="23"/>
    </row>
    <row r="7" spans="1:7" x14ac:dyDescent="0.25">
      <c r="A7" s="23"/>
      <c r="B7" s="23"/>
      <c r="C7" s="23" t="s">
        <v>30</v>
      </c>
      <c r="D7" s="23"/>
      <c r="E7" s="23"/>
      <c r="F7" s="23"/>
      <c r="G7" s="23"/>
    </row>
    <row r="8" spans="1:7" ht="15.75" thickBot="1" x14ac:dyDescent="0.3">
      <c r="A8" s="23"/>
      <c r="B8" s="23"/>
      <c r="C8" s="23"/>
      <c r="D8" s="23"/>
      <c r="E8" s="23"/>
      <c r="F8" s="23"/>
      <c r="G8" s="23"/>
    </row>
    <row r="9" spans="1:7" ht="16.5" thickTop="1" thickBot="1" x14ac:dyDescent="0.3">
      <c r="A9" s="23"/>
      <c r="B9" s="20" t="s">
        <v>36</v>
      </c>
      <c r="C9" s="71">
        <f>SUM(POWER(Project_Data!$Q$26/Project_Data!$Q$21,2))</f>
        <v>1.8838908112264514</v>
      </c>
      <c r="D9" s="21" t="s">
        <v>37</v>
      </c>
      <c r="E9" s="23"/>
      <c r="F9" s="23"/>
      <c r="G9" s="23"/>
    </row>
    <row r="10" spans="1:7" ht="15.75" thickTop="1" x14ac:dyDescent="0.25">
      <c r="A10" s="23"/>
      <c r="B10" s="23"/>
      <c r="C10" s="23"/>
      <c r="D10" s="23"/>
      <c r="E10" s="23"/>
      <c r="F10" s="23"/>
      <c r="G10" s="23"/>
    </row>
    <row r="11" spans="1:7" x14ac:dyDescent="0.25">
      <c r="A11" s="23"/>
      <c r="B11" s="23"/>
      <c r="C11" s="23"/>
      <c r="D11" s="23"/>
      <c r="E11" s="23"/>
      <c r="F11" s="23"/>
      <c r="G11" s="23"/>
    </row>
    <row r="12" spans="1:7" x14ac:dyDescent="0.25">
      <c r="A12" s="23"/>
      <c r="B12" s="23"/>
      <c r="C12" s="23"/>
      <c r="D12" s="23"/>
      <c r="E12" s="23"/>
      <c r="F12" s="23"/>
      <c r="G12" s="23"/>
    </row>
    <row r="13" spans="1:7" x14ac:dyDescent="0.25">
      <c r="A13" s="23"/>
      <c r="B13" s="23"/>
      <c r="C13" s="23"/>
      <c r="D13" s="23"/>
      <c r="E13" s="23"/>
      <c r="F13" s="23"/>
      <c r="G13" s="23"/>
    </row>
  </sheetData>
  <mergeCells count="1">
    <mergeCell ref="A1:G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showGridLines="0" workbookViewId="0">
      <selection activeCell="C11" sqref="C11"/>
    </sheetView>
  </sheetViews>
  <sheetFormatPr defaultRowHeight="15" x14ac:dyDescent="0.25"/>
  <cols>
    <col min="3" max="3" width="4.42578125" customWidth="1"/>
    <col min="6" max="6" width="17.140625" customWidth="1"/>
  </cols>
  <sheetData>
    <row r="1" spans="1:10" ht="18" x14ac:dyDescent="0.25">
      <c r="A1" s="291" t="s">
        <v>48</v>
      </c>
      <c r="B1" s="291"/>
      <c r="C1" s="291"/>
      <c r="D1" s="291"/>
      <c r="E1" s="291"/>
      <c r="F1" s="291"/>
      <c r="G1" s="291"/>
      <c r="H1" s="291"/>
      <c r="I1" s="291"/>
      <c r="J1" s="291"/>
    </row>
    <row r="2" spans="1:10" x14ac:dyDescent="0.25">
      <c r="A2" s="23" t="s">
        <v>118</v>
      </c>
      <c r="B2" s="23"/>
      <c r="C2" s="23"/>
      <c r="D2" s="23"/>
      <c r="E2" s="23"/>
      <c r="F2" s="23"/>
      <c r="G2" s="23"/>
      <c r="H2" s="23"/>
      <c r="I2" s="23"/>
      <c r="J2" s="23"/>
    </row>
    <row r="3" spans="1:10" x14ac:dyDescent="0.25">
      <c r="A3" s="23"/>
      <c r="B3" s="23" t="s">
        <v>49</v>
      </c>
      <c r="C3" s="23"/>
      <c r="D3" s="23"/>
      <c r="E3" s="23"/>
      <c r="F3" s="23"/>
      <c r="G3" s="23"/>
      <c r="H3" s="23"/>
      <c r="I3" s="23"/>
      <c r="J3" s="23"/>
    </row>
    <row r="4" spans="1:10" x14ac:dyDescent="0.25">
      <c r="A4" s="23"/>
      <c r="B4" s="23"/>
      <c r="C4" s="23"/>
      <c r="D4" s="23"/>
      <c r="E4" s="23"/>
      <c r="F4" s="23"/>
      <c r="G4" s="23"/>
      <c r="H4" s="23"/>
      <c r="I4" s="23"/>
      <c r="J4" s="23"/>
    </row>
    <row r="5" spans="1:10" x14ac:dyDescent="0.25">
      <c r="A5" s="23"/>
      <c r="B5" s="23" t="s">
        <v>50</v>
      </c>
      <c r="C5" s="23"/>
      <c r="D5" s="23"/>
      <c r="E5" s="23"/>
      <c r="F5" s="23"/>
      <c r="G5" s="23"/>
      <c r="H5" s="23"/>
      <c r="I5" s="23"/>
      <c r="J5" s="23"/>
    </row>
    <row r="6" spans="1:10" x14ac:dyDescent="0.25">
      <c r="A6" s="23"/>
      <c r="B6" s="23"/>
      <c r="C6" s="23"/>
      <c r="D6" s="23"/>
      <c r="E6" s="23"/>
      <c r="F6" s="23"/>
      <c r="G6" s="23"/>
      <c r="H6" s="23"/>
      <c r="I6" s="23"/>
      <c r="J6" s="23"/>
    </row>
    <row r="7" spans="1:10" x14ac:dyDescent="0.25">
      <c r="A7" s="23"/>
      <c r="B7" s="24" t="s">
        <v>19</v>
      </c>
      <c r="C7" s="23" t="s">
        <v>52</v>
      </c>
      <c r="D7" s="23"/>
      <c r="E7" s="23"/>
      <c r="F7" s="23"/>
      <c r="G7" s="23"/>
      <c r="H7" s="23"/>
      <c r="I7" s="23"/>
      <c r="J7" s="23"/>
    </row>
    <row r="8" spans="1:10" x14ac:dyDescent="0.25">
      <c r="A8" s="23"/>
      <c r="B8" s="25" t="s">
        <v>53</v>
      </c>
      <c r="C8" s="23" t="s">
        <v>54</v>
      </c>
      <c r="D8" s="23"/>
      <c r="E8" s="23"/>
      <c r="F8" s="23"/>
      <c r="G8" s="23"/>
      <c r="H8" s="23"/>
      <c r="I8" s="23"/>
      <c r="J8" s="23"/>
    </row>
    <row r="9" spans="1:10" x14ac:dyDescent="0.25">
      <c r="A9" s="23"/>
      <c r="B9" s="23"/>
      <c r="C9" s="23"/>
      <c r="D9" s="23"/>
      <c r="E9" s="23"/>
      <c r="F9" s="23"/>
      <c r="G9" s="23"/>
      <c r="H9" s="23"/>
      <c r="I9" s="23"/>
      <c r="J9" s="23"/>
    </row>
    <row r="10" spans="1:10" x14ac:dyDescent="0.25">
      <c r="A10" s="23"/>
      <c r="B10" s="25" t="s">
        <v>55</v>
      </c>
      <c r="C10" s="23">
        <f>Project_Data!$Q$21</f>
        <v>5.0999999999999996</v>
      </c>
      <c r="D10" s="23" t="s">
        <v>56</v>
      </c>
      <c r="E10" s="23"/>
      <c r="F10" s="23"/>
      <c r="G10" s="23"/>
      <c r="H10" s="23"/>
      <c r="I10" s="23"/>
      <c r="J10" s="23"/>
    </row>
    <row r="11" spans="1:10" x14ac:dyDescent="0.25">
      <c r="A11" s="23"/>
      <c r="B11" s="25" t="s">
        <v>51</v>
      </c>
      <c r="C11" s="23"/>
      <c r="D11" s="23" t="s">
        <v>18</v>
      </c>
      <c r="E11" s="23">
        <f>H19</f>
        <v>559.21499999999992</v>
      </c>
      <c r="F11" s="23" t="s">
        <v>58</v>
      </c>
      <c r="G11" s="23"/>
      <c r="H11" s="23"/>
      <c r="I11" s="23"/>
      <c r="J11" s="23"/>
    </row>
    <row r="12" spans="1:10" x14ac:dyDescent="0.25">
      <c r="A12" s="23"/>
      <c r="B12" s="23"/>
      <c r="C12" s="23"/>
      <c r="D12" s="23"/>
      <c r="E12" s="23"/>
      <c r="F12" s="23"/>
      <c r="G12" s="23"/>
      <c r="H12" s="23"/>
      <c r="I12" s="23"/>
      <c r="J12" s="23"/>
    </row>
    <row r="13" spans="1:10" x14ac:dyDescent="0.25">
      <c r="A13" s="23"/>
      <c r="B13" s="26" t="s">
        <v>59</v>
      </c>
      <c r="C13" s="23"/>
      <c r="D13" s="23"/>
      <c r="E13" s="23"/>
      <c r="F13" s="23"/>
      <c r="G13" s="23"/>
      <c r="H13" s="23"/>
      <c r="I13" s="23"/>
      <c r="J13" s="23"/>
    </row>
    <row r="14" spans="1:10" x14ac:dyDescent="0.25">
      <c r="A14" s="23"/>
      <c r="B14" s="23"/>
      <c r="C14" s="23"/>
      <c r="D14" s="23"/>
      <c r="E14" s="23"/>
      <c r="F14" s="23"/>
      <c r="G14" s="23"/>
      <c r="H14" s="23"/>
      <c r="I14" s="23"/>
      <c r="J14" s="23"/>
    </row>
    <row r="15" spans="1:10" x14ac:dyDescent="0.25">
      <c r="A15" s="23"/>
      <c r="B15" s="23" t="s">
        <v>60</v>
      </c>
      <c r="C15" s="23"/>
      <c r="D15" s="27" t="s">
        <v>18</v>
      </c>
      <c r="E15" s="23">
        <f>SUM((((Project_Data!U34*Project_Data!Q33)*(Project_Data!Q34*Project_Data!Q33))/2)+(Project_Data!Q33*Project_Data!Q36)+((Project_Data!U35*Project_Data!Q35)*(Project_Data!Q35*Project_Data!Q33)/2))</f>
        <v>0</v>
      </c>
      <c r="F15" s="23" t="s">
        <v>58</v>
      </c>
      <c r="G15" s="23"/>
      <c r="H15" s="23"/>
      <c r="I15" s="23"/>
      <c r="J15" s="23"/>
    </row>
    <row r="16" spans="1:10" x14ac:dyDescent="0.25">
      <c r="A16" s="23"/>
      <c r="B16" s="23"/>
      <c r="C16" s="23"/>
      <c r="D16" s="23"/>
      <c r="E16" s="23"/>
      <c r="F16" s="23"/>
      <c r="G16" s="23"/>
      <c r="H16" s="23"/>
      <c r="I16" s="23"/>
      <c r="J16" s="23"/>
    </row>
    <row r="17" spans="1:10" x14ac:dyDescent="0.25">
      <c r="A17" s="23"/>
      <c r="B17" s="23"/>
      <c r="C17" s="23"/>
      <c r="D17" s="23"/>
      <c r="E17" s="23"/>
      <c r="F17" s="23"/>
      <c r="G17" s="23"/>
      <c r="H17" s="23"/>
      <c r="I17" s="23"/>
      <c r="J17" s="23"/>
    </row>
    <row r="18" spans="1:10" ht="15.75" thickBot="1" x14ac:dyDescent="0.3">
      <c r="A18" s="23"/>
      <c r="B18" s="23"/>
      <c r="C18" s="23"/>
      <c r="D18" s="23"/>
      <c r="E18" s="23"/>
      <c r="F18" s="23"/>
      <c r="G18" s="23"/>
      <c r="H18" s="23"/>
      <c r="I18" s="23"/>
      <c r="J18" s="23"/>
    </row>
    <row r="19" spans="1:10" ht="16.5" thickTop="1" thickBot="1" x14ac:dyDescent="0.3">
      <c r="A19" s="23"/>
      <c r="B19" s="23"/>
      <c r="C19" s="23"/>
      <c r="D19" s="23"/>
      <c r="E19" s="23"/>
      <c r="F19" s="292" t="s">
        <v>61</v>
      </c>
      <c r="G19" s="293"/>
      <c r="H19" s="140">
        <f>SUM(21.5*(POWER(C10,2)))</f>
        <v>559.21499999999992</v>
      </c>
      <c r="I19" s="15" t="s">
        <v>57</v>
      </c>
      <c r="J19" s="23"/>
    </row>
    <row r="20" spans="1:10" ht="15.75" thickBot="1" x14ac:dyDescent="0.3">
      <c r="A20" s="23"/>
      <c r="B20" s="23"/>
      <c r="C20" s="23"/>
      <c r="D20" s="23"/>
      <c r="E20" s="23"/>
      <c r="F20" s="298"/>
      <c r="G20" s="299"/>
      <c r="H20" s="299"/>
      <c r="I20" s="300"/>
      <c r="J20" s="23"/>
    </row>
    <row r="21" spans="1:10" ht="15.75" thickBot="1" x14ac:dyDescent="0.3">
      <c r="A21" s="23"/>
      <c r="B21" s="23"/>
      <c r="C21" s="23"/>
      <c r="D21" s="23"/>
      <c r="E21" s="23"/>
      <c r="F21" s="294" t="s">
        <v>62</v>
      </c>
      <c r="G21" s="295"/>
      <c r="H21" s="16">
        <f>E15</f>
        <v>0</v>
      </c>
      <c r="I21" s="17" t="s">
        <v>57</v>
      </c>
      <c r="J21" s="23"/>
    </row>
    <row r="22" spans="1:10" ht="15.75" thickBot="1" x14ac:dyDescent="0.3">
      <c r="A22" s="23"/>
      <c r="B22" s="23"/>
      <c r="C22" s="23"/>
      <c r="D22" s="23"/>
      <c r="E22" s="23"/>
      <c r="F22" s="298"/>
      <c r="G22" s="299"/>
      <c r="H22" s="299"/>
      <c r="I22" s="300"/>
      <c r="J22" s="23"/>
    </row>
    <row r="23" spans="1:10" ht="15.75" thickBot="1" x14ac:dyDescent="0.3">
      <c r="A23" s="23"/>
      <c r="B23" s="23"/>
      <c r="C23" s="23"/>
      <c r="D23" s="23"/>
      <c r="E23" s="23"/>
      <c r="F23" s="296" t="s">
        <v>63</v>
      </c>
      <c r="G23" s="297"/>
      <c r="H23" s="18">
        <f>SUM(H19:H22)</f>
        <v>559.21499999999992</v>
      </c>
      <c r="I23" s="19" t="s">
        <v>57</v>
      </c>
      <c r="J23" s="23"/>
    </row>
    <row r="24" spans="1:10" ht="15.75" thickTop="1" x14ac:dyDescent="0.25">
      <c r="A24" s="23"/>
      <c r="B24" s="23"/>
      <c r="C24" s="23"/>
      <c r="D24" s="23"/>
      <c r="E24" s="23"/>
      <c r="F24" s="23"/>
      <c r="G24" s="23"/>
      <c r="H24" s="23"/>
      <c r="I24" s="23"/>
      <c r="J24" s="23"/>
    </row>
    <row r="25" spans="1:10" x14ac:dyDescent="0.25">
      <c r="A25" s="23"/>
      <c r="B25" s="23"/>
      <c r="C25" s="23"/>
      <c r="D25" s="23"/>
      <c r="E25" s="23"/>
      <c r="F25" s="23"/>
      <c r="G25" s="23"/>
      <c r="H25" s="23"/>
      <c r="I25" s="23"/>
      <c r="J25" s="23"/>
    </row>
    <row r="26" spans="1:10" x14ac:dyDescent="0.25">
      <c r="A26" s="23"/>
      <c r="B26" s="23"/>
      <c r="C26" s="23"/>
      <c r="D26" s="23"/>
      <c r="E26" s="23"/>
      <c r="F26" s="23"/>
      <c r="G26" s="23"/>
      <c r="H26" s="23"/>
      <c r="I26" s="23"/>
      <c r="J26" s="23"/>
    </row>
  </sheetData>
  <mergeCells count="6">
    <mergeCell ref="A1:J1"/>
    <mergeCell ref="F19:G19"/>
    <mergeCell ref="F21:G21"/>
    <mergeCell ref="F23:G23"/>
    <mergeCell ref="F20:I20"/>
    <mergeCell ref="F22:I2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9"/>
  <sheetViews>
    <sheetView showGridLines="0" workbookViewId="0">
      <selection activeCell="B12" sqref="B12"/>
    </sheetView>
  </sheetViews>
  <sheetFormatPr defaultRowHeight="15" x14ac:dyDescent="0.25"/>
  <cols>
    <col min="2" max="2" width="16.42578125" customWidth="1"/>
    <col min="3" max="3" width="19.42578125" customWidth="1"/>
    <col min="4" max="4" width="28.42578125" customWidth="1"/>
    <col min="7" max="7" width="17.5703125" customWidth="1"/>
  </cols>
  <sheetData>
    <row r="1" spans="1:10" ht="18" x14ac:dyDescent="0.25">
      <c r="A1" s="291" t="s">
        <v>40</v>
      </c>
      <c r="B1" s="291"/>
      <c r="C1" s="291"/>
      <c r="D1" s="291"/>
      <c r="E1" s="291"/>
    </row>
    <row r="2" spans="1:10" x14ac:dyDescent="0.25">
      <c r="A2" s="23" t="s">
        <v>41</v>
      </c>
      <c r="B2" s="23"/>
      <c r="C2" s="23"/>
      <c r="D2" s="23"/>
      <c r="E2" s="23"/>
    </row>
    <row r="3" spans="1:10" x14ac:dyDescent="0.25">
      <c r="A3" s="23"/>
      <c r="B3" s="23" t="s">
        <v>14</v>
      </c>
      <c r="C3" s="23"/>
      <c r="D3" s="23"/>
      <c r="E3" s="23"/>
    </row>
    <row r="4" spans="1:10" x14ac:dyDescent="0.25">
      <c r="A4" s="23"/>
      <c r="B4" s="23" t="s">
        <v>15</v>
      </c>
      <c r="C4" s="23"/>
      <c r="D4" s="23"/>
      <c r="E4" s="23"/>
    </row>
    <row r="5" spans="1:10" x14ac:dyDescent="0.25">
      <c r="A5" s="23"/>
      <c r="B5" s="23" t="s">
        <v>16</v>
      </c>
      <c r="C5" s="23"/>
      <c r="D5" s="23"/>
      <c r="E5" s="23"/>
    </row>
    <row r="6" spans="1:10" x14ac:dyDescent="0.25">
      <c r="A6" s="23"/>
      <c r="B6" s="23" t="s">
        <v>17</v>
      </c>
      <c r="C6" s="23"/>
      <c r="D6" s="23"/>
      <c r="E6" s="23"/>
    </row>
    <row r="7" spans="1:10" x14ac:dyDescent="0.25">
      <c r="A7" s="23"/>
      <c r="B7" s="23"/>
      <c r="C7" s="23"/>
      <c r="D7" s="23"/>
      <c r="E7" s="23"/>
    </row>
    <row r="8" spans="1:10" x14ac:dyDescent="0.25">
      <c r="A8" s="23"/>
      <c r="B8" s="23"/>
      <c r="C8" s="23"/>
      <c r="D8" s="23"/>
      <c r="E8" s="23"/>
      <c r="G8" s="5"/>
    </row>
    <row r="9" spans="1:10" x14ac:dyDescent="0.25">
      <c r="A9" s="23"/>
      <c r="B9" s="25" t="s">
        <v>20</v>
      </c>
      <c r="C9" s="23" t="s">
        <v>22</v>
      </c>
      <c r="D9" s="23"/>
      <c r="E9" s="23"/>
    </row>
    <row r="10" spans="1:10" ht="15.75" thickBot="1" x14ac:dyDescent="0.3">
      <c r="A10" s="23"/>
      <c r="B10" s="23"/>
      <c r="C10" s="23"/>
      <c r="D10" s="23"/>
      <c r="E10" s="23"/>
    </row>
    <row r="11" spans="1:10" ht="33.75" customHeight="1" thickTop="1" thickBot="1" x14ac:dyDescent="0.3">
      <c r="A11" s="23"/>
      <c r="B11" s="6" t="s">
        <v>23</v>
      </c>
      <c r="C11" s="7" t="s">
        <v>24</v>
      </c>
      <c r="D11" s="10" t="s">
        <v>25</v>
      </c>
      <c r="E11" s="23"/>
      <c r="H11" s="2"/>
    </row>
    <row r="12" spans="1:10" ht="15.75" thickBot="1" x14ac:dyDescent="0.3">
      <c r="A12" s="23"/>
      <c r="B12" s="11">
        <f>SUM(10.5+(6.6*0.3)+(17.2*(POWER(0.3,2))))</f>
        <v>14.028</v>
      </c>
      <c r="C12" s="8">
        <f>Project_Data!$Q$26</f>
        <v>7</v>
      </c>
      <c r="D12" s="70">
        <f>SUM(B12*C12)</f>
        <v>98.195999999999998</v>
      </c>
      <c r="E12" s="23"/>
      <c r="H12" s="2"/>
    </row>
    <row r="13" spans="1:10" ht="15.75" thickTop="1" x14ac:dyDescent="0.25">
      <c r="A13" s="23"/>
      <c r="B13" s="28"/>
      <c r="C13" s="28"/>
      <c r="D13" s="28"/>
      <c r="E13" s="23"/>
      <c r="H13" s="2"/>
    </row>
    <row r="14" spans="1:10" x14ac:dyDescent="0.25">
      <c r="A14" s="23"/>
      <c r="B14" s="28"/>
      <c r="C14" s="28"/>
      <c r="D14" s="28"/>
      <c r="E14" s="23"/>
      <c r="H14" s="2"/>
      <c r="J14" s="2"/>
    </row>
    <row r="15" spans="1:10" x14ac:dyDescent="0.25">
      <c r="B15" s="2"/>
      <c r="C15" s="2"/>
      <c r="D15" s="2"/>
      <c r="H15" s="2"/>
    </row>
    <row r="16" spans="1:10" x14ac:dyDescent="0.25">
      <c r="B16" s="2"/>
      <c r="C16" s="2"/>
      <c r="D16" s="2"/>
      <c r="H16" s="2"/>
      <c r="J16" s="2"/>
    </row>
    <row r="17" spans="4:12" x14ac:dyDescent="0.25">
      <c r="H17" s="2"/>
    </row>
    <row r="18" spans="4:12" x14ac:dyDescent="0.25">
      <c r="H18" s="2"/>
    </row>
    <row r="19" spans="4:12" x14ac:dyDescent="0.25">
      <c r="H19" s="2"/>
    </row>
    <row r="20" spans="4:12" x14ac:dyDescent="0.25">
      <c r="H20" s="2"/>
    </row>
    <row r="21" spans="4:12" x14ac:dyDescent="0.25">
      <c r="H21" s="2"/>
    </row>
    <row r="22" spans="4:12" x14ac:dyDescent="0.25">
      <c r="H22" s="2"/>
    </row>
    <row r="24" spans="4:12" x14ac:dyDescent="0.25">
      <c r="D24" s="3"/>
      <c r="E24" s="3"/>
    </row>
    <row r="25" spans="4:12" x14ac:dyDescent="0.25">
      <c r="E25" s="4"/>
    </row>
    <row r="26" spans="4:12" x14ac:dyDescent="0.25">
      <c r="E26" s="3"/>
    </row>
    <row r="27" spans="4:12" x14ac:dyDescent="0.25">
      <c r="E27" s="3"/>
    </row>
    <row r="28" spans="4:12" x14ac:dyDescent="0.25">
      <c r="K28" s="2"/>
      <c r="L28" s="2"/>
    </row>
    <row r="29" spans="4:12" x14ac:dyDescent="0.25">
      <c r="K29" s="2"/>
      <c r="L29" s="2"/>
    </row>
  </sheetData>
  <mergeCells count="1">
    <mergeCell ref="A1:E1"/>
  </mergeCells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9"/>
  <sheetViews>
    <sheetView showGridLines="0" workbookViewId="0">
      <selection activeCell="G8" sqref="G8"/>
    </sheetView>
  </sheetViews>
  <sheetFormatPr defaultRowHeight="15" x14ac:dyDescent="0.25"/>
  <cols>
    <col min="3" max="3" width="18.140625" customWidth="1"/>
    <col min="4" max="4" width="11.85546875" customWidth="1"/>
  </cols>
  <sheetData>
    <row r="1" spans="1:8" ht="18" x14ac:dyDescent="0.25">
      <c r="A1" s="301" t="s">
        <v>73</v>
      </c>
      <c r="B1" s="301"/>
      <c r="C1" s="301"/>
      <c r="D1" s="301"/>
      <c r="E1" s="301"/>
      <c r="F1" s="301"/>
      <c r="G1" s="301"/>
      <c r="H1" s="301"/>
    </row>
    <row r="2" spans="1:8" x14ac:dyDescent="0.25">
      <c r="A2" s="23"/>
      <c r="B2" s="23"/>
      <c r="C2" s="23"/>
      <c r="D2" s="23"/>
      <c r="E2" s="23"/>
      <c r="F2" s="23"/>
      <c r="G2" s="23"/>
      <c r="H2" s="23"/>
    </row>
    <row r="3" spans="1:8" x14ac:dyDescent="0.25">
      <c r="A3" s="23" t="s">
        <v>84</v>
      </c>
      <c r="B3" s="23"/>
      <c r="C3" s="23"/>
      <c r="D3" s="23"/>
      <c r="E3" s="23"/>
      <c r="F3" s="23"/>
      <c r="G3" s="23"/>
      <c r="H3" s="23"/>
    </row>
    <row r="4" spans="1:8" x14ac:dyDescent="0.25">
      <c r="A4" s="23"/>
      <c r="B4" s="23"/>
      <c r="C4" s="24" t="s">
        <v>53</v>
      </c>
      <c r="D4" s="23" t="s">
        <v>74</v>
      </c>
      <c r="E4" s="23"/>
      <c r="F4" s="23"/>
      <c r="G4" s="23"/>
      <c r="H4" s="23"/>
    </row>
    <row r="5" spans="1:8" x14ac:dyDescent="0.25">
      <c r="A5" s="23"/>
      <c r="B5" s="23"/>
      <c r="C5" s="24" t="s">
        <v>75</v>
      </c>
      <c r="D5" s="23" t="s">
        <v>76</v>
      </c>
      <c r="E5" s="23"/>
      <c r="F5" s="23"/>
      <c r="G5" s="23"/>
      <c r="H5" s="23"/>
    </row>
    <row r="6" spans="1:8" x14ac:dyDescent="0.25">
      <c r="A6" s="23"/>
      <c r="B6" s="23"/>
      <c r="C6" s="24" t="s">
        <v>77</v>
      </c>
      <c r="D6" s="23" t="s">
        <v>78</v>
      </c>
      <c r="E6" s="23"/>
      <c r="F6" s="23"/>
      <c r="G6" s="23"/>
      <c r="H6" s="23"/>
    </row>
    <row r="7" spans="1:8" x14ac:dyDescent="0.25">
      <c r="A7" s="23"/>
      <c r="B7" s="23"/>
      <c r="C7" s="23"/>
      <c r="D7" s="23"/>
      <c r="E7" s="23"/>
      <c r="F7" s="23"/>
      <c r="G7" s="23"/>
      <c r="H7" s="23"/>
    </row>
    <row r="8" spans="1:8" x14ac:dyDescent="0.25">
      <c r="A8" s="23"/>
      <c r="B8" s="23"/>
      <c r="C8" s="24" t="s">
        <v>77</v>
      </c>
      <c r="D8" s="23" t="s">
        <v>79</v>
      </c>
      <c r="E8" s="65"/>
      <c r="F8" s="66"/>
      <c r="G8" s="23"/>
      <c r="H8" s="23"/>
    </row>
    <row r="9" spans="1:8" ht="15.75" thickBot="1" x14ac:dyDescent="0.3">
      <c r="A9" s="23"/>
      <c r="B9" s="23"/>
      <c r="C9" s="23"/>
      <c r="D9" s="23"/>
      <c r="E9" s="23"/>
      <c r="F9" s="23"/>
      <c r="G9" s="23"/>
      <c r="H9" s="23"/>
    </row>
    <row r="10" spans="1:8" ht="45.75" customHeight="1" thickBot="1" x14ac:dyDescent="0.3">
      <c r="A10" s="23"/>
      <c r="B10" s="23"/>
      <c r="C10" s="68" t="s">
        <v>80</v>
      </c>
      <c r="D10" s="68" t="s">
        <v>81</v>
      </c>
      <c r="E10" s="68" t="s">
        <v>82</v>
      </c>
      <c r="F10" s="91" t="s">
        <v>83</v>
      </c>
      <c r="G10" s="23"/>
      <c r="H10" s="23"/>
    </row>
    <row r="11" spans="1:8" ht="15.75" thickBot="1" x14ac:dyDescent="0.3">
      <c r="A11" s="23"/>
      <c r="B11" s="23"/>
      <c r="C11" s="67">
        <f>Project_Data!Q26</f>
        <v>7</v>
      </c>
      <c r="D11" s="69">
        <f>SUM(Project_Data!U30/Project_Data!Q30)</f>
        <v>0.33333333333333331</v>
      </c>
      <c r="E11" s="90">
        <f>SUM(TAN(Project_Data!U30/Project_Data!Q30))</f>
        <v>0.34625354951057546</v>
      </c>
      <c r="F11" s="92">
        <f>IF(Project_Data!Q30&lt;=2,"No",IF(Project_Data!Q30&gt;=7,"No",(C11/E11)))</f>
        <v>20.216399253940939</v>
      </c>
      <c r="G11" s="23"/>
      <c r="H11" s="23"/>
    </row>
    <row r="12" spans="1:8" x14ac:dyDescent="0.25">
      <c r="A12" s="23"/>
      <c r="B12" s="23"/>
      <c r="C12" s="23"/>
      <c r="D12" s="23"/>
      <c r="E12" s="23"/>
      <c r="F12" s="23"/>
      <c r="G12" s="23"/>
      <c r="H12" s="23"/>
    </row>
    <row r="13" spans="1:8" x14ac:dyDescent="0.25">
      <c r="A13" s="23"/>
      <c r="B13" s="23"/>
      <c r="C13" s="23"/>
      <c r="D13" s="23"/>
      <c r="E13" s="23"/>
      <c r="F13" s="23"/>
      <c r="G13" s="23"/>
      <c r="H13" s="23"/>
    </row>
    <row r="14" spans="1:8" x14ac:dyDescent="0.25">
      <c r="A14" s="23"/>
      <c r="B14" s="23"/>
      <c r="C14" s="23"/>
      <c r="D14" s="23"/>
      <c r="E14" s="23"/>
      <c r="F14" s="23"/>
      <c r="G14" s="23"/>
      <c r="H14" s="23"/>
    </row>
    <row r="19" spans="5:5" x14ac:dyDescent="0.25">
      <c r="E19" s="89"/>
    </row>
  </sheetData>
  <mergeCells count="1">
    <mergeCell ref="A1:H1"/>
  </mergeCells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1"/>
  <sheetViews>
    <sheetView workbookViewId="0">
      <selection activeCell="K26" sqref="K26"/>
    </sheetView>
  </sheetViews>
  <sheetFormatPr defaultRowHeight="15" x14ac:dyDescent="0.25"/>
  <cols>
    <col min="1" max="1" width="20" customWidth="1"/>
    <col min="4" max="4" width="13.7109375" customWidth="1"/>
  </cols>
  <sheetData>
    <row r="1" spans="1:9" x14ac:dyDescent="0.25">
      <c r="A1" s="125" t="s">
        <v>7</v>
      </c>
      <c r="B1" s="123"/>
      <c r="C1" s="137"/>
      <c r="D1" s="302" t="s">
        <v>8</v>
      </c>
      <c r="E1" s="303"/>
      <c r="F1" s="135"/>
      <c r="G1" s="135"/>
      <c r="H1" s="128" t="s">
        <v>9</v>
      </c>
      <c r="I1" s="23"/>
    </row>
    <row r="2" spans="1:9" x14ac:dyDescent="0.25">
      <c r="A2" s="126">
        <v>4</v>
      </c>
      <c r="B2" s="124"/>
      <c r="C2" s="23"/>
      <c r="D2" s="131">
        <v>10</v>
      </c>
      <c r="E2" s="132">
        <f t="shared" ref="E2:E18" si="0">SUM(SIN(RADIANS(D2)))</f>
        <v>0.17364817766693033</v>
      </c>
      <c r="F2" s="136"/>
      <c r="G2" s="136"/>
      <c r="H2" s="129">
        <v>0.25</v>
      </c>
      <c r="I2" s="23"/>
    </row>
    <row r="3" spans="1:9" x14ac:dyDescent="0.25">
      <c r="A3" s="126">
        <v>4.5</v>
      </c>
      <c r="B3" s="124"/>
      <c r="C3" s="23"/>
      <c r="D3" s="131">
        <v>15</v>
      </c>
      <c r="E3" s="132">
        <f t="shared" si="0"/>
        <v>0.25881904510252074</v>
      </c>
      <c r="F3" s="136"/>
      <c r="G3" s="136"/>
      <c r="H3" s="129">
        <v>0.3</v>
      </c>
      <c r="I3" s="23"/>
    </row>
    <row r="4" spans="1:9" x14ac:dyDescent="0.25">
      <c r="A4" s="126">
        <v>5</v>
      </c>
      <c r="B4" s="124"/>
      <c r="C4" s="23"/>
      <c r="D4" s="131">
        <v>20</v>
      </c>
      <c r="E4" s="132">
        <f t="shared" si="0"/>
        <v>0.34202014332566871</v>
      </c>
      <c r="F4" s="136"/>
      <c r="G4" s="136"/>
      <c r="H4" s="129">
        <v>0.4</v>
      </c>
      <c r="I4" s="23"/>
    </row>
    <row r="5" spans="1:9" x14ac:dyDescent="0.25">
      <c r="A5" s="126">
        <v>5.5</v>
      </c>
      <c r="B5" s="124"/>
      <c r="C5" s="23"/>
      <c r="D5" s="131">
        <v>25</v>
      </c>
      <c r="E5" s="132">
        <f t="shared" si="0"/>
        <v>0.42261826174069944</v>
      </c>
      <c r="F5" s="136"/>
      <c r="G5" s="136"/>
      <c r="H5" s="129">
        <v>0.5</v>
      </c>
      <c r="I5" s="23"/>
    </row>
    <row r="6" spans="1:9" x14ac:dyDescent="0.25">
      <c r="A6" s="126">
        <v>6</v>
      </c>
      <c r="B6" s="124"/>
      <c r="C6" s="23"/>
      <c r="D6" s="131">
        <v>30</v>
      </c>
      <c r="E6" s="132">
        <f t="shared" si="0"/>
        <v>0.49999999999999994</v>
      </c>
      <c r="F6" s="136"/>
      <c r="G6" s="136"/>
      <c r="H6" s="129">
        <v>0.6</v>
      </c>
      <c r="I6" s="23"/>
    </row>
    <row r="7" spans="1:9" ht="15.75" thickBot="1" x14ac:dyDescent="0.3">
      <c r="A7" s="126">
        <v>6.5</v>
      </c>
      <c r="B7" s="124"/>
      <c r="C7" s="23"/>
      <c r="D7" s="131">
        <v>35</v>
      </c>
      <c r="E7" s="132">
        <f t="shared" si="0"/>
        <v>0.57357643635104605</v>
      </c>
      <c r="F7" s="136"/>
      <c r="G7" s="136"/>
      <c r="H7" s="130">
        <v>0.7</v>
      </c>
      <c r="I7" s="23"/>
    </row>
    <row r="8" spans="1:9" x14ac:dyDescent="0.25">
      <c r="A8" s="126">
        <v>7</v>
      </c>
      <c r="B8" s="124"/>
      <c r="C8" s="23"/>
      <c r="D8" s="131">
        <v>40</v>
      </c>
      <c r="E8" s="132">
        <f t="shared" si="0"/>
        <v>0.64278760968653925</v>
      </c>
      <c r="F8" s="136"/>
      <c r="G8" s="136"/>
      <c r="H8" s="23"/>
      <c r="I8" s="23"/>
    </row>
    <row r="9" spans="1:9" x14ac:dyDescent="0.25">
      <c r="A9" s="126">
        <v>7.5</v>
      </c>
      <c r="B9" s="124"/>
      <c r="C9" s="23"/>
      <c r="D9" s="131">
        <v>45</v>
      </c>
      <c r="E9" s="132">
        <f t="shared" si="0"/>
        <v>0.70710678118654746</v>
      </c>
      <c r="F9" s="136"/>
      <c r="G9" s="136"/>
      <c r="H9" s="23"/>
      <c r="I9" s="23"/>
    </row>
    <row r="10" spans="1:9" x14ac:dyDescent="0.25">
      <c r="A10" s="126">
        <v>8</v>
      </c>
      <c r="B10" s="124"/>
      <c r="C10" s="23"/>
      <c r="D10" s="131">
        <v>50</v>
      </c>
      <c r="E10" s="132">
        <f t="shared" si="0"/>
        <v>0.76604444311897801</v>
      </c>
      <c r="F10" s="136"/>
      <c r="G10" s="136"/>
      <c r="H10" s="23"/>
      <c r="I10" s="23"/>
    </row>
    <row r="11" spans="1:9" x14ac:dyDescent="0.25">
      <c r="A11" s="126">
        <v>8.5</v>
      </c>
      <c r="B11" s="124"/>
      <c r="C11" s="23"/>
      <c r="D11" s="131">
        <v>55</v>
      </c>
      <c r="E11" s="132">
        <f t="shared" si="0"/>
        <v>0.8191520442889918</v>
      </c>
      <c r="F11" s="136"/>
      <c r="G11" s="136"/>
      <c r="H11" s="23"/>
      <c r="I11" s="23"/>
    </row>
    <row r="12" spans="1:9" x14ac:dyDescent="0.25">
      <c r="A12" s="126">
        <v>9</v>
      </c>
      <c r="B12" s="124"/>
      <c r="C12" s="23"/>
      <c r="D12" s="131">
        <v>60</v>
      </c>
      <c r="E12" s="132">
        <f t="shared" si="0"/>
        <v>0.8660254037844386</v>
      </c>
      <c r="F12" s="136"/>
      <c r="G12" s="136"/>
      <c r="H12" s="23"/>
      <c r="I12" s="23"/>
    </row>
    <row r="13" spans="1:9" x14ac:dyDescent="0.25">
      <c r="A13" s="126">
        <v>9.5</v>
      </c>
      <c r="B13" s="124"/>
      <c r="C13" s="23"/>
      <c r="D13" s="131">
        <v>65</v>
      </c>
      <c r="E13" s="132">
        <f t="shared" si="0"/>
        <v>0.90630778703664994</v>
      </c>
      <c r="F13" s="136"/>
      <c r="G13" s="136"/>
      <c r="H13" s="23"/>
      <c r="I13" s="23"/>
    </row>
    <row r="14" spans="1:9" x14ac:dyDescent="0.25">
      <c r="A14" s="126">
        <v>10</v>
      </c>
      <c r="B14" s="124"/>
      <c r="C14" s="23"/>
      <c r="D14" s="131">
        <v>70</v>
      </c>
      <c r="E14" s="132">
        <f t="shared" si="0"/>
        <v>0.93969262078590832</v>
      </c>
      <c r="F14" s="136"/>
      <c r="G14" s="136"/>
      <c r="H14" s="23"/>
      <c r="I14" s="23"/>
    </row>
    <row r="15" spans="1:9" x14ac:dyDescent="0.25">
      <c r="A15" s="126">
        <v>10.5</v>
      </c>
      <c r="B15" s="124"/>
      <c r="C15" s="23"/>
      <c r="D15" s="131">
        <v>75</v>
      </c>
      <c r="E15" s="132">
        <f t="shared" si="0"/>
        <v>0.96592582628906831</v>
      </c>
      <c r="F15" s="136"/>
      <c r="G15" s="136"/>
      <c r="H15" s="23"/>
      <c r="I15" s="23"/>
    </row>
    <row r="16" spans="1:9" x14ac:dyDescent="0.25">
      <c r="A16" s="126">
        <v>11</v>
      </c>
      <c r="B16" s="124"/>
      <c r="C16" s="23"/>
      <c r="D16" s="131">
        <v>80</v>
      </c>
      <c r="E16" s="132">
        <f t="shared" si="0"/>
        <v>0.98480775301220802</v>
      </c>
      <c r="F16" s="136"/>
      <c r="G16" s="136"/>
      <c r="H16" s="23"/>
      <c r="I16" s="23"/>
    </row>
    <row r="17" spans="1:9" x14ac:dyDescent="0.25">
      <c r="A17" s="126">
        <v>11.5</v>
      </c>
      <c r="B17" s="124"/>
      <c r="C17" s="23"/>
      <c r="D17" s="131">
        <v>85</v>
      </c>
      <c r="E17" s="132">
        <f t="shared" si="0"/>
        <v>0.99619469809174555</v>
      </c>
      <c r="F17" s="136"/>
      <c r="G17" s="136"/>
      <c r="H17" s="23"/>
      <c r="I17" s="23"/>
    </row>
    <row r="18" spans="1:9" ht="15.75" thickBot="1" x14ac:dyDescent="0.3">
      <c r="A18" s="126">
        <v>12</v>
      </c>
      <c r="B18" s="124"/>
      <c r="C18" s="23"/>
      <c r="D18" s="133">
        <v>90</v>
      </c>
      <c r="E18" s="134">
        <f t="shared" si="0"/>
        <v>1</v>
      </c>
      <c r="F18" s="136"/>
      <c r="G18" s="136"/>
      <c r="H18" s="23"/>
      <c r="I18" s="23"/>
    </row>
    <row r="19" spans="1:9" ht="15.75" thickBot="1" x14ac:dyDescent="0.3">
      <c r="A19" s="127">
        <v>12.5</v>
      </c>
      <c r="B19" s="124"/>
      <c r="C19" s="23"/>
      <c r="D19" s="23"/>
      <c r="E19" s="23"/>
      <c r="F19" s="23"/>
      <c r="G19" s="23"/>
      <c r="H19" s="23"/>
      <c r="I19" s="23"/>
    </row>
    <row r="20" spans="1:9" x14ac:dyDescent="0.25">
      <c r="A20" s="23"/>
      <c r="B20" s="23"/>
      <c r="C20" s="23"/>
      <c r="D20" s="23"/>
      <c r="E20" s="23"/>
      <c r="F20" s="23"/>
      <c r="G20" s="23"/>
      <c r="H20" s="23"/>
      <c r="I20" s="23"/>
    </row>
    <row r="21" spans="1:9" x14ac:dyDescent="0.25">
      <c r="A21" s="23"/>
      <c r="B21" s="23"/>
      <c r="C21" s="23"/>
      <c r="D21" s="23"/>
      <c r="E21" s="23"/>
      <c r="F21" s="23"/>
      <c r="G21" s="23"/>
      <c r="H21" s="23"/>
      <c r="I21" s="23"/>
    </row>
  </sheetData>
  <mergeCells count="1">
    <mergeCell ref="D1:E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2"/>
  <sheetViews>
    <sheetView showGridLines="0" workbookViewId="0">
      <selection activeCell="F20" sqref="F20"/>
    </sheetView>
  </sheetViews>
  <sheetFormatPr defaultRowHeight="15" x14ac:dyDescent="0.25"/>
  <sheetData>
    <row r="1" spans="1:13" x14ac:dyDescent="0.25">
      <c r="A1" s="23"/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</row>
    <row r="2" spans="1:13" ht="18.75" customHeight="1" x14ac:dyDescent="0.25">
      <c r="A2" s="301" t="s">
        <v>107</v>
      </c>
      <c r="B2" s="301"/>
      <c r="C2" s="301"/>
      <c r="D2" s="301"/>
      <c r="E2" s="301"/>
      <c r="F2" s="301"/>
      <c r="G2" s="301"/>
      <c r="H2" s="301"/>
      <c r="I2" s="301"/>
      <c r="J2" s="301"/>
      <c r="K2" s="23"/>
      <c r="L2" s="23"/>
      <c r="M2" s="23"/>
    </row>
    <row r="3" spans="1:13" x14ac:dyDescent="0.25">
      <c r="A3" s="23"/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</row>
    <row r="4" spans="1:13" x14ac:dyDescent="0.25">
      <c r="A4" s="23"/>
      <c r="B4" s="120" t="s">
        <v>103</v>
      </c>
      <c r="C4" s="23"/>
      <c r="D4" s="23"/>
      <c r="E4" s="23"/>
      <c r="F4" s="23"/>
      <c r="G4" s="23"/>
      <c r="H4" s="23"/>
      <c r="I4" s="23"/>
      <c r="J4" s="23"/>
      <c r="K4" s="23"/>
      <c r="L4" s="23"/>
      <c r="M4" s="23"/>
    </row>
    <row r="5" spans="1:13" x14ac:dyDescent="0.25">
      <c r="A5" s="23"/>
      <c r="B5" s="121"/>
      <c r="C5" s="23"/>
      <c r="D5" s="23"/>
      <c r="E5" s="23"/>
      <c r="F5" s="23"/>
      <c r="G5" s="23"/>
      <c r="H5" s="23"/>
      <c r="I5" s="23"/>
      <c r="J5" s="23"/>
      <c r="K5" s="23"/>
      <c r="L5" s="23"/>
      <c r="M5" s="23"/>
    </row>
    <row r="6" spans="1:13" x14ac:dyDescent="0.25">
      <c r="A6" s="23"/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</row>
    <row r="7" spans="1:13" x14ac:dyDescent="0.25">
      <c r="A7" s="23"/>
      <c r="B7" s="122" t="s">
        <v>105</v>
      </c>
      <c r="C7" s="23"/>
      <c r="D7" s="23"/>
      <c r="E7" s="23"/>
      <c r="F7" s="23"/>
      <c r="G7" s="23"/>
      <c r="H7" s="23"/>
      <c r="I7" s="23"/>
      <c r="J7" s="23"/>
      <c r="K7" s="23"/>
      <c r="L7" s="23"/>
      <c r="M7" s="23"/>
    </row>
    <row r="8" spans="1:13" x14ac:dyDescent="0.25">
      <c r="A8" s="23"/>
      <c r="B8" s="122" t="s">
        <v>106</v>
      </c>
      <c r="C8" s="23"/>
      <c r="D8" s="23"/>
      <c r="E8" s="23"/>
      <c r="F8" s="23"/>
      <c r="G8" s="23"/>
      <c r="H8" s="23"/>
      <c r="I8" s="23"/>
      <c r="J8" s="23"/>
      <c r="K8" s="23"/>
      <c r="L8" s="23"/>
      <c r="M8" s="23"/>
    </row>
    <row r="9" spans="1:13" x14ac:dyDescent="0.25">
      <c r="A9" s="23"/>
      <c r="B9" s="122" t="s">
        <v>108</v>
      </c>
      <c r="C9" s="23"/>
      <c r="D9" s="23"/>
      <c r="E9" s="23"/>
      <c r="F9" s="23"/>
      <c r="G9" s="23"/>
      <c r="H9" s="23"/>
      <c r="I9" s="23"/>
      <c r="J9" s="23"/>
      <c r="K9" s="23"/>
      <c r="L9" s="23"/>
      <c r="M9" s="23"/>
    </row>
    <row r="10" spans="1:13" x14ac:dyDescent="0.25">
      <c r="A10" s="23"/>
      <c r="B10" s="120" t="s">
        <v>104</v>
      </c>
      <c r="C10" s="23"/>
      <c r="D10" s="23"/>
      <c r="E10" s="23"/>
      <c r="F10" s="23"/>
      <c r="G10" s="23"/>
      <c r="H10" s="23"/>
      <c r="I10" s="23"/>
      <c r="J10" s="23"/>
      <c r="K10" s="23"/>
      <c r="L10" s="23"/>
      <c r="M10" s="23"/>
    </row>
    <row r="11" spans="1:13" x14ac:dyDescent="0.25">
      <c r="A11" s="23"/>
      <c r="B11" s="23"/>
      <c r="C11" s="23"/>
      <c r="D11" s="23"/>
      <c r="E11" s="23"/>
      <c r="F11" s="23"/>
      <c r="G11" s="23"/>
      <c r="H11" s="23"/>
      <c r="I11" s="23"/>
      <c r="J11" s="23"/>
      <c r="K11" s="23"/>
      <c r="L11" s="23"/>
      <c r="M11" s="23"/>
    </row>
    <row r="12" spans="1:13" x14ac:dyDescent="0.25">
      <c r="A12" s="23"/>
      <c r="B12" s="23"/>
      <c r="C12" s="23"/>
      <c r="D12" s="23"/>
      <c r="E12" s="23"/>
      <c r="F12" s="23"/>
      <c r="G12" s="23"/>
      <c r="H12" s="23"/>
      <c r="I12" s="23"/>
      <c r="J12" s="23"/>
      <c r="K12" s="23"/>
      <c r="L12" s="23"/>
      <c r="M12" s="23"/>
    </row>
  </sheetData>
  <mergeCells count="1">
    <mergeCell ref="A2:J2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5"/>
  <sheetViews>
    <sheetView showGridLines="0" workbookViewId="0">
      <selection activeCell="B2" sqref="B2"/>
    </sheetView>
  </sheetViews>
  <sheetFormatPr defaultRowHeight="15" x14ac:dyDescent="0.25"/>
  <cols>
    <col min="2" max="2" width="43" customWidth="1"/>
    <col min="3" max="3" width="18.28515625" customWidth="1"/>
  </cols>
  <sheetData>
    <row r="1" spans="1:14" x14ac:dyDescent="0.25">
      <c r="A1" s="23"/>
      <c r="B1" s="23"/>
      <c r="C1" s="23"/>
      <c r="D1" s="23"/>
    </row>
    <row r="2" spans="1:14" ht="18" x14ac:dyDescent="0.25">
      <c r="A2" s="23"/>
      <c r="B2" s="75" t="s">
        <v>97</v>
      </c>
      <c r="C2" s="23"/>
      <c r="D2" s="23"/>
    </row>
    <row r="3" spans="1:14" ht="15" customHeight="1" x14ac:dyDescent="0.25">
      <c r="A3" s="23"/>
      <c r="B3" s="75"/>
      <c r="C3" s="23"/>
      <c r="D3" s="23"/>
    </row>
    <row r="4" spans="1:14" ht="15" customHeight="1" x14ac:dyDescent="0.25">
      <c r="A4" s="23"/>
      <c r="B4" s="23"/>
      <c r="C4" s="23"/>
      <c r="D4" s="23"/>
    </row>
    <row r="5" spans="1:14" ht="15" customHeight="1" x14ac:dyDescent="0.25">
      <c r="A5" s="23"/>
      <c r="B5" s="76" t="s">
        <v>96</v>
      </c>
      <c r="C5" s="23"/>
      <c r="D5" s="23"/>
    </row>
    <row r="6" spans="1:14" ht="15" customHeight="1" x14ac:dyDescent="0.25">
      <c r="A6" s="23"/>
      <c r="B6" s="77"/>
      <c r="C6" s="23"/>
      <c r="D6" s="23"/>
    </row>
    <row r="7" spans="1:14" ht="15" customHeight="1" x14ac:dyDescent="0.25">
      <c r="A7" s="23"/>
      <c r="B7" s="23"/>
      <c r="C7" s="23"/>
      <c r="D7" s="23"/>
      <c r="I7" s="73"/>
      <c r="J7" s="73"/>
      <c r="K7" s="73"/>
      <c r="L7" s="73"/>
      <c r="M7" s="73"/>
      <c r="N7" s="73"/>
    </row>
    <row r="8" spans="1:14" ht="15" customHeight="1" x14ac:dyDescent="0.25">
      <c r="A8" s="23"/>
      <c r="B8" s="79" t="s">
        <v>98</v>
      </c>
      <c r="C8" s="80">
        <f>Project_Data!$Q$14</f>
        <v>2.4300000000000002</v>
      </c>
      <c r="D8" s="23"/>
    </row>
    <row r="9" spans="1:14" ht="15" customHeight="1" x14ac:dyDescent="0.25">
      <c r="A9" s="23"/>
      <c r="B9" s="79" t="s">
        <v>99</v>
      </c>
      <c r="C9" s="84">
        <f>Project_Data!$Q$15</f>
        <v>9.4E-2</v>
      </c>
      <c r="D9" s="23"/>
    </row>
    <row r="10" spans="1:14" ht="15" customHeight="1" x14ac:dyDescent="0.25">
      <c r="A10" s="23"/>
      <c r="B10" s="79" t="s">
        <v>100</v>
      </c>
      <c r="C10" s="81">
        <f>Project_Data!$Q$16</f>
        <v>0.57999999999999996</v>
      </c>
      <c r="D10" s="23"/>
    </row>
    <row r="11" spans="1:14" ht="15" customHeight="1" x14ac:dyDescent="0.25">
      <c r="A11" s="23"/>
      <c r="B11" s="79" t="s">
        <v>101</v>
      </c>
      <c r="C11" s="82">
        <f>Project_Data!$Q$18</f>
        <v>10000</v>
      </c>
      <c r="D11" s="23"/>
    </row>
    <row r="12" spans="1:14" ht="15" customHeight="1" x14ac:dyDescent="0.25">
      <c r="A12" s="23"/>
      <c r="B12" s="83" t="s">
        <v>102</v>
      </c>
      <c r="C12" s="63">
        <f>SUM(1500*(C8)*(C9)*(C10)*(1-POWER(0.14,(C11/3000))))</f>
        <v>198.44225199974875</v>
      </c>
      <c r="D12" s="78"/>
      <c r="E12" s="74"/>
      <c r="F12" s="74"/>
      <c r="G12" s="74"/>
      <c r="H12" s="74"/>
    </row>
    <row r="13" spans="1:14" x14ac:dyDescent="0.25">
      <c r="A13" s="23"/>
      <c r="B13" s="23"/>
      <c r="C13" s="23"/>
      <c r="D13" s="23"/>
    </row>
    <row r="14" spans="1:14" x14ac:dyDescent="0.25">
      <c r="A14" s="23"/>
      <c r="B14" s="23"/>
      <c r="C14" s="23"/>
      <c r="D14" s="23"/>
    </row>
    <row r="15" spans="1:14" x14ac:dyDescent="0.25">
      <c r="A15" s="23"/>
      <c r="B15" s="23"/>
      <c r="C15" s="23"/>
      <c r="D15" s="23"/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3"/>
  <sheetViews>
    <sheetView showGridLines="0" workbookViewId="0">
      <selection activeCell="C21" sqref="C21"/>
    </sheetView>
  </sheetViews>
  <sheetFormatPr defaultRowHeight="15" x14ac:dyDescent="0.25"/>
  <cols>
    <col min="2" max="2" width="31.7109375" customWidth="1"/>
    <col min="5" max="5" width="7.85546875" customWidth="1"/>
    <col min="6" max="6" width="18.28515625" customWidth="1"/>
  </cols>
  <sheetData>
    <row r="1" spans="1:14" x14ac:dyDescent="0.25">
      <c r="A1" s="23"/>
      <c r="B1" s="23"/>
      <c r="C1" s="23"/>
      <c r="D1" s="23"/>
      <c r="E1" s="23"/>
      <c r="F1" s="23"/>
    </row>
    <row r="2" spans="1:14" ht="18" x14ac:dyDescent="0.25">
      <c r="A2" s="23"/>
      <c r="B2" s="75" t="s">
        <v>109</v>
      </c>
      <c r="C2" s="23"/>
      <c r="D2" s="23"/>
      <c r="E2" s="23"/>
      <c r="F2" s="23"/>
    </row>
    <row r="3" spans="1:14" ht="15" customHeight="1" x14ac:dyDescent="0.25">
      <c r="A3" s="23"/>
      <c r="B3" s="23"/>
      <c r="C3" s="23"/>
      <c r="D3" s="23"/>
      <c r="E3" s="23"/>
      <c r="F3" s="23"/>
    </row>
    <row r="4" spans="1:14" ht="15" customHeight="1" x14ac:dyDescent="0.25">
      <c r="A4" s="23"/>
      <c r="B4" s="304" t="s">
        <v>110</v>
      </c>
      <c r="C4" s="304"/>
      <c r="D4" s="304"/>
      <c r="E4" s="304"/>
      <c r="F4" s="304"/>
    </row>
    <row r="5" spans="1:14" ht="15" customHeight="1" x14ac:dyDescent="0.25">
      <c r="A5" s="23"/>
      <c r="B5" s="77"/>
      <c r="C5" s="26"/>
      <c r="D5" s="26"/>
      <c r="E5" s="26"/>
      <c r="F5" s="26"/>
    </row>
    <row r="6" spans="1:14" ht="15" customHeight="1" x14ac:dyDescent="0.25">
      <c r="A6" s="23"/>
      <c r="B6" s="305" t="s">
        <v>113</v>
      </c>
      <c r="C6" s="305"/>
      <c r="D6" s="305"/>
      <c r="E6" s="88">
        <f>Project_Data!Q19</f>
        <v>7.52</v>
      </c>
      <c r="F6" s="86"/>
    </row>
    <row r="7" spans="1:14" ht="15" customHeight="1" x14ac:dyDescent="0.25">
      <c r="A7" s="23"/>
      <c r="B7" s="305" t="s">
        <v>111</v>
      </c>
      <c r="C7" s="305"/>
      <c r="D7" s="305"/>
      <c r="E7" s="88">
        <f>Project_Data!Q20</f>
        <v>0.5</v>
      </c>
      <c r="F7" s="86"/>
    </row>
    <row r="8" spans="1:14" ht="15" customHeight="1" x14ac:dyDescent="0.25">
      <c r="A8" s="23"/>
      <c r="B8" s="306" t="s">
        <v>112</v>
      </c>
      <c r="C8" s="306"/>
      <c r="D8" s="306"/>
      <c r="E8" s="87">
        <f>SUM(POWER(Project_Data!Q19/(3+(4*Project_Data!Q20)+(44*POWER(Project_Data!Q20,2))-(60*POWER(Project_Data!Q20,3))),0.455))</f>
        <v>0.94578736150484211</v>
      </c>
      <c r="F8" s="86"/>
    </row>
    <row r="9" spans="1:14" x14ac:dyDescent="0.25">
      <c r="A9" s="23"/>
      <c r="B9" s="23"/>
      <c r="C9" s="23"/>
      <c r="D9" s="23"/>
      <c r="E9" s="23"/>
      <c r="F9" s="23"/>
    </row>
    <row r="10" spans="1:14" x14ac:dyDescent="0.25">
      <c r="A10" s="23"/>
      <c r="B10" s="23"/>
      <c r="C10" s="23"/>
      <c r="D10" s="23"/>
      <c r="E10" s="23"/>
      <c r="F10" s="23"/>
    </row>
    <row r="13" spans="1:14" x14ac:dyDescent="0.25">
      <c r="E13" s="85"/>
    </row>
    <row r="15" spans="1:14" ht="15" customHeight="1" x14ac:dyDescent="0.25">
      <c r="K15" s="138"/>
      <c r="L15" s="138"/>
      <c r="M15" s="138"/>
      <c r="N15" s="138"/>
    </row>
    <row r="16" spans="1:14" ht="15" customHeight="1" x14ac:dyDescent="0.25">
      <c r="B16" s="139" t="s">
        <v>125</v>
      </c>
      <c r="C16">
        <f>SUM(3+(4*Project_Data!Q20))</f>
        <v>5</v>
      </c>
      <c r="I16" s="138"/>
      <c r="J16" s="138"/>
      <c r="K16" s="138"/>
      <c r="L16" s="138"/>
      <c r="M16" s="138"/>
      <c r="N16" s="138"/>
    </row>
    <row r="17" spans="2:14" x14ac:dyDescent="0.25">
      <c r="B17" s="139" t="s">
        <v>126</v>
      </c>
      <c r="C17">
        <f>SUM(POWER(Project_Data!Q20,2))</f>
        <v>0.25</v>
      </c>
      <c r="K17" s="138"/>
      <c r="L17" s="138"/>
      <c r="M17" s="138"/>
      <c r="N17" s="138"/>
    </row>
    <row r="18" spans="2:14" x14ac:dyDescent="0.25">
      <c r="B18" s="139" t="s">
        <v>119</v>
      </c>
      <c r="C18">
        <f>SUM(44*POWER(Project_Data!Q20,2))</f>
        <v>11</v>
      </c>
      <c r="J18" s="138"/>
      <c r="K18" s="138"/>
      <c r="L18" s="138"/>
      <c r="M18" s="138"/>
    </row>
    <row r="19" spans="2:14" x14ac:dyDescent="0.25">
      <c r="B19" s="139" t="s">
        <v>120</v>
      </c>
      <c r="C19" s="2">
        <f>SUM(POWER(Project_Data!Q20,3))</f>
        <v>0.125</v>
      </c>
    </row>
    <row r="20" spans="2:14" x14ac:dyDescent="0.25">
      <c r="B20" s="139" t="s">
        <v>121</v>
      </c>
      <c r="C20">
        <f>SUM(60*POWER(Project_Data!Q20,3))</f>
        <v>7.5</v>
      </c>
    </row>
    <row r="21" spans="2:14" x14ac:dyDescent="0.25">
      <c r="B21" s="139" t="s">
        <v>122</v>
      </c>
      <c r="C21">
        <f>SUM(C16+C18-C20)</f>
        <v>8.5</v>
      </c>
    </row>
    <row r="22" spans="2:14" x14ac:dyDescent="0.25">
      <c r="B22" s="139" t="s">
        <v>123</v>
      </c>
      <c r="C22" s="2">
        <f>SUM((E6)/C21)</f>
        <v>0.88470588235294112</v>
      </c>
    </row>
    <row r="23" spans="2:14" ht="15" customHeight="1" x14ac:dyDescent="0.25">
      <c r="B23" s="139" t="s">
        <v>124</v>
      </c>
      <c r="C23" s="2">
        <f>POWER(C22,0.455)</f>
        <v>0.94578736150484211</v>
      </c>
      <c r="H23" s="138"/>
      <c r="I23" s="138"/>
      <c r="J23" s="138"/>
      <c r="K23" s="138"/>
    </row>
  </sheetData>
  <mergeCells count="4">
    <mergeCell ref="B4:F4"/>
    <mergeCell ref="B6:D6"/>
    <mergeCell ref="B7:D7"/>
    <mergeCell ref="B8:D8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B20"/>
  <sheetViews>
    <sheetView workbookViewId="0">
      <selection activeCell="B2" sqref="B2:F20"/>
    </sheetView>
  </sheetViews>
  <sheetFormatPr defaultRowHeight="15" x14ac:dyDescent="0.25"/>
  <sheetData>
    <row r="2" spans="2:2" x14ac:dyDescent="0.25">
      <c r="B2" s="72"/>
    </row>
    <row r="3" spans="2:2" x14ac:dyDescent="0.25">
      <c r="B3" s="62"/>
    </row>
    <row r="4" spans="2:2" x14ac:dyDescent="0.25">
      <c r="B4" s="72"/>
    </row>
    <row r="5" spans="2:2" x14ac:dyDescent="0.25">
      <c r="B5" s="62"/>
    </row>
    <row r="6" spans="2:2" x14ac:dyDescent="0.25">
      <c r="B6" s="72"/>
    </row>
    <row r="7" spans="2:2" x14ac:dyDescent="0.25">
      <c r="B7" s="62"/>
    </row>
    <row r="8" spans="2:2" x14ac:dyDescent="0.25">
      <c r="B8" s="72"/>
    </row>
    <row r="9" spans="2:2" x14ac:dyDescent="0.25">
      <c r="B9" s="62"/>
    </row>
    <row r="10" spans="2:2" x14ac:dyDescent="0.25">
      <c r="B10" s="72"/>
    </row>
    <row r="11" spans="2:2" x14ac:dyDescent="0.25">
      <c r="B11" s="62"/>
    </row>
    <row r="12" spans="2:2" x14ac:dyDescent="0.25">
      <c r="B12" s="72"/>
    </row>
    <row r="13" spans="2:2" x14ac:dyDescent="0.25">
      <c r="B13" s="62"/>
    </row>
    <row r="14" spans="2:2" x14ac:dyDescent="0.25">
      <c r="B14" s="72"/>
    </row>
    <row r="15" spans="2:2" x14ac:dyDescent="0.25">
      <c r="B15" s="62"/>
    </row>
    <row r="16" spans="2:2" x14ac:dyDescent="0.25">
      <c r="B16" s="72"/>
    </row>
    <row r="17" spans="2:2" x14ac:dyDescent="0.25">
      <c r="B17" s="62"/>
    </row>
    <row r="18" spans="2:2" x14ac:dyDescent="0.25">
      <c r="B18" s="72"/>
    </row>
    <row r="19" spans="2:2" x14ac:dyDescent="0.25">
      <c r="B19" s="62"/>
    </row>
    <row r="20" spans="2:2" x14ac:dyDescent="0.25">
      <c r="B20" s="7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Project_Data</vt:lpstr>
      <vt:lpstr>Minimum_Parallel_Setbacks</vt:lpstr>
      <vt:lpstr>Number_of_Rows</vt:lpstr>
      <vt:lpstr>Ditch_Area_Reducing</vt:lpstr>
      <vt:lpstr>Reduced_Setback</vt:lpstr>
      <vt:lpstr>Planting_Steep_Slopes</vt:lpstr>
      <vt:lpstr>Data</vt:lpstr>
      <vt:lpstr>Greatest_Transport</vt:lpstr>
      <vt:lpstr>Mean_Snow_Transport</vt:lpstr>
      <vt:lpstr>Fence_Height</vt:lpstr>
      <vt:lpstr>UOFM_Data</vt:lpstr>
    </vt:vector>
  </TitlesOfParts>
  <Company>MNDOT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Dennis Moline</dc:creator>
  <cp:lastModifiedBy>Daniel Gullickson</cp:lastModifiedBy>
  <cp:lastPrinted>2014-09-23T18:42:59Z</cp:lastPrinted>
  <dcterms:created xsi:type="dcterms:W3CDTF">2014-06-05T16:07:59Z</dcterms:created>
  <dcterms:modified xsi:type="dcterms:W3CDTF">2016-05-11T15:11:28Z</dcterms:modified>
</cp:coreProperties>
</file>