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workbookProtection workbookAlgorithmName="SHA-512" workbookHashValue="h076qzS1361FNOtw3uupmZpwCtvBgj2P9SBM/hVMh/AH4xp2Itzs4RGro9UQ3cL492JP5a3so8dgXM3caQXEiQ==" workbookSaltValue="rKb/bsUShW2fUvVp2CiStg==" workbookSpinCount="100000" lockStructure="1"/>
  <bookViews>
    <workbookView xWindow="240" yWindow="105" windowWidth="14805" windowHeight="8010"/>
  </bookViews>
  <sheets>
    <sheet name="By Length and Width" sheetId="2" r:id="rId1"/>
    <sheet name="By Square Yard" sheetId="4" r:id="rId2"/>
    <sheet name="Additions and Exclusions" sheetId="5" r:id="rId3"/>
  </sheets>
  <calcPr calcId="152511"/>
</workbook>
</file>

<file path=xl/calcChain.xml><?xml version="1.0" encoding="utf-8"?>
<calcChain xmlns="http://schemas.openxmlformats.org/spreadsheetml/2006/main">
  <c r="C22" i="5" l="1"/>
  <c r="C21" i="5"/>
  <c r="C20" i="5"/>
  <c r="C19" i="5"/>
  <c r="C18" i="5"/>
  <c r="C17" i="5"/>
  <c r="C16" i="5"/>
  <c r="C15" i="5"/>
  <c r="C14" i="5"/>
  <c r="C13" i="5"/>
  <c r="C12" i="5"/>
  <c r="C11" i="5"/>
  <c r="C10" i="5"/>
  <c r="D26" i="2" l="1"/>
  <c r="D23" i="2"/>
  <c r="F9" i="5"/>
  <c r="C9" i="5" s="1"/>
  <c r="F10" i="5"/>
  <c r="F11" i="5"/>
  <c r="F12" i="5"/>
  <c r="F13" i="5"/>
  <c r="F14" i="5"/>
  <c r="F15" i="5"/>
  <c r="F16" i="5"/>
  <c r="F17" i="5"/>
  <c r="F18" i="5"/>
  <c r="F19" i="5"/>
  <c r="F20" i="5"/>
  <c r="F21" i="5"/>
  <c r="F22" i="5"/>
  <c r="F8" i="5"/>
  <c r="C8" i="5" s="1"/>
  <c r="S8" i="5"/>
  <c r="T8" i="5"/>
  <c r="F24" i="5" l="1" a="1"/>
  <c r="F24" i="5" s="1"/>
  <c r="D63" i="2" s="1"/>
  <c r="F25" i="5" a="1"/>
  <c r="F25" i="5" s="1"/>
  <c r="D57" i="4" l="1"/>
  <c r="C41" i="4" s="1"/>
  <c r="C49" i="4" s="1"/>
  <c r="D66" i="2"/>
  <c r="C50" i="2" s="1"/>
  <c r="E50" i="2" s="1"/>
  <c r="D60" i="4"/>
  <c r="C44" i="4" s="1"/>
  <c r="C52" i="4" s="1"/>
  <c r="E52" i="4" s="1"/>
  <c r="E41" i="4" l="1"/>
  <c r="D41" i="4"/>
  <c r="D44" i="4"/>
  <c r="E44" i="4"/>
  <c r="C33" i="4"/>
  <c r="D52" i="4"/>
  <c r="D49" i="4"/>
  <c r="D33" i="4"/>
  <c r="D36" i="4" s="1"/>
  <c r="E49" i="4"/>
  <c r="D50" i="2"/>
  <c r="C47" i="2"/>
  <c r="C58" i="2"/>
  <c r="C36" i="4" l="1"/>
  <c r="E33" i="4" s="1"/>
  <c r="E47" i="2"/>
  <c r="C42" i="2" s="1"/>
  <c r="D47" i="2"/>
  <c r="E58" i="2"/>
  <c r="D58" i="2"/>
  <c r="C55" i="2"/>
  <c r="C39" i="2"/>
  <c r="E36" i="4" l="1"/>
  <c r="E55" i="2"/>
  <c r="D55" i="2"/>
  <c r="D39" i="2"/>
  <c r="D42" i="2" s="1"/>
  <c r="E42" i="2" s="1"/>
  <c r="E39" i="2" l="1"/>
</calcChain>
</file>

<file path=xl/sharedStrings.xml><?xml version="1.0" encoding="utf-8"?>
<sst xmlns="http://schemas.openxmlformats.org/spreadsheetml/2006/main" count="125" uniqueCount="66">
  <si>
    <t>INPUTS</t>
  </si>
  <si>
    <t>Aggregate</t>
  </si>
  <si>
    <t>Emulsion</t>
  </si>
  <si>
    <t>Emulsion Price/Gallon</t>
  </si>
  <si>
    <t>Emulsion Specific Gravity</t>
  </si>
  <si>
    <t>Surface Crs Area (Sq. Yd.)</t>
  </si>
  <si>
    <t>Scratch Crs Area (Sq. Yd.)</t>
  </si>
  <si>
    <t>OUTPUT</t>
  </si>
  <si>
    <t>Total Tons Aggregate</t>
  </si>
  <si>
    <t>Surface Cost/Sq. Yd.</t>
  </si>
  <si>
    <t>Scratch Cost/Sq. Yd.</t>
  </si>
  <si>
    <t>Total Gallons Emulsion</t>
  </si>
  <si>
    <t>Total Cost/Sq. Yd.</t>
  </si>
  <si>
    <t>Total Cost/Lane Mile*</t>
  </si>
  <si>
    <t>Scratch Crs Gallons</t>
  </si>
  <si>
    <t>Surface Crs Gallons</t>
  </si>
  <si>
    <t>Scratch Crs Tons</t>
  </si>
  <si>
    <t>Surface Crs Tons</t>
  </si>
  <si>
    <t>Scratch Crs lbs/Sq. Yd.</t>
  </si>
  <si>
    <t>Surface Crs lbs/Sq. Yd.</t>
  </si>
  <si>
    <t>Scratch Crs Price/Ton</t>
  </si>
  <si>
    <t>Surface Crs Price/Ton</t>
  </si>
  <si>
    <t>Scratch Gallons/Sq. Yd.</t>
  </si>
  <si>
    <t>Surface Gallons/Sq. Yd.</t>
  </si>
  <si>
    <t>Percent Emulsion by Dry Weight</t>
  </si>
  <si>
    <t>Micro Surfacing Quantity Calculator</t>
  </si>
  <si>
    <t>Scratch Course Length (ft)</t>
  </si>
  <si>
    <t>Scratch Course Width (ft)</t>
  </si>
  <si>
    <t>Surface Course Length (ft)</t>
  </si>
  <si>
    <t>Surface Course Width (ft)</t>
  </si>
  <si>
    <t>Scratch Aggregate Cost</t>
  </si>
  <si>
    <t>Surface Aggregate Cost</t>
  </si>
  <si>
    <t>Total Aggregate Cost</t>
  </si>
  <si>
    <t>Total Emulsion Cost</t>
  </si>
  <si>
    <t>Scratch Number of Lanes</t>
  </si>
  <si>
    <t>Surface Number of Lanes</t>
  </si>
  <si>
    <t>*Cost per lane mile based on 12 ft wide lane</t>
  </si>
  <si>
    <t>Total Cost/Lane Mile</t>
  </si>
  <si>
    <t>Engineer/Estimator:</t>
  </si>
  <si>
    <t>SP:</t>
  </si>
  <si>
    <t>Roadway:</t>
  </si>
  <si>
    <t>From:</t>
  </si>
  <si>
    <t>To:</t>
  </si>
  <si>
    <t>Length (ft)</t>
  </si>
  <si>
    <t>Width (ft)</t>
  </si>
  <si>
    <t>Area (SY)</t>
  </si>
  <si>
    <t>Type</t>
  </si>
  <si>
    <t>Addition</t>
  </si>
  <si>
    <t>Exclusion</t>
  </si>
  <si>
    <t>Notes</t>
  </si>
  <si>
    <t>Scratch Course</t>
  </si>
  <si>
    <t>Surface Course</t>
  </si>
  <si>
    <t>Total Scratch Course Area Modification (SY)</t>
  </si>
  <si>
    <t>Total Surface Course Area Modification (SY)</t>
  </si>
  <si>
    <t/>
  </si>
  <si>
    <t>Lift</t>
  </si>
  <si>
    <t>Both Lifts</t>
  </si>
  <si>
    <t>Surface Course Area Including Additions and Exclusions (Sq. Yd.)</t>
  </si>
  <si>
    <t>Area Used for Calculations</t>
  </si>
  <si>
    <r>
      <rPr>
        <b/>
        <sz val="11"/>
        <color theme="1"/>
        <rFont val="Calibri"/>
        <family val="2"/>
        <scheme val="minor"/>
      </rPr>
      <t>Instructions</t>
    </r>
    <r>
      <rPr>
        <sz val="11"/>
        <color theme="1"/>
        <rFont val="Calibri"/>
        <family val="2"/>
        <scheme val="minor"/>
      </rPr>
      <t xml:space="preserve">: Enter data into the white cells in the "INPUTS" box. Fields in the "OUTPUT" box will be calculated automatically. Use the "Additions and Exclusions" tab for special cirumstances that should be factored into or removed from the overall quantities (such as turn lanes, shoulders, etc).
This spreadsheet is intended to assist in making preliminary cost estimates for a micro surfacing project. It is recommended to use estimated bid prices that reflect your District's historical pricing. This is for information only, estimated quantities should always be checked by hand.
</t>
    </r>
    <r>
      <rPr>
        <b/>
        <sz val="11"/>
        <color theme="1"/>
        <rFont val="Calibri"/>
        <family val="2"/>
        <scheme val="minor"/>
      </rPr>
      <t>Note:</t>
    </r>
    <r>
      <rPr>
        <sz val="11"/>
        <color theme="1"/>
        <rFont val="Calibri"/>
        <family val="2"/>
        <scheme val="minor"/>
      </rPr>
      <t xml:space="preserve"> This sheet calculates on the basis of project length, lane width, and number of lanes. If you wish to calculate based on Square Yards, select the "By Square Yard" sheet at the bottom of the workbook.</t>
    </r>
  </si>
  <si>
    <r>
      <rPr>
        <b/>
        <sz val="11"/>
        <color theme="1"/>
        <rFont val="Calibri"/>
        <family val="2"/>
        <scheme val="minor"/>
      </rPr>
      <t>Instructions</t>
    </r>
    <r>
      <rPr>
        <sz val="11"/>
        <color theme="1"/>
        <rFont val="Calibri"/>
        <family val="2"/>
        <scheme val="minor"/>
      </rPr>
      <t xml:space="preserve">: Enter data into the white cells in the "INPUTS" box. Fields in the "OUTPUT" box will be calculated automatically. Use the "Additions and Exclusions" tab for special cirumstances that should be factored into or removed from the overall quantities (such as turn lanes, shoulders, etc).
This spreadsheet is intended to assist in making preliminary cost estimates for a micro surfacing project. It is recommended to use estimated bid prices that reflect your District's historical pricing. This is for information only, estimated quantities should always be checked by hand.
</t>
    </r>
    <r>
      <rPr>
        <b/>
        <sz val="11"/>
        <color theme="1"/>
        <rFont val="Calibri"/>
        <family val="2"/>
        <scheme val="minor"/>
      </rPr>
      <t xml:space="preserve">Note: </t>
    </r>
    <r>
      <rPr>
        <sz val="11"/>
        <color theme="1"/>
        <rFont val="Calibri"/>
        <family val="2"/>
        <scheme val="minor"/>
      </rPr>
      <t>This sheet calculates on the basis of Square Yards. If you wish to calculate based on project length and width, select the "By Length and Width" sheet at the bottom of the workbook.</t>
    </r>
  </si>
  <si>
    <t>Additions and Exclusions</t>
  </si>
  <si>
    <r>
      <rPr>
        <b/>
        <sz val="11"/>
        <color theme="1"/>
        <rFont val="Calibri"/>
        <family val="2"/>
        <scheme val="minor"/>
      </rPr>
      <t>Instructions:</t>
    </r>
    <r>
      <rPr>
        <sz val="11"/>
        <color theme="1"/>
        <rFont val="Calibri"/>
        <family val="2"/>
        <scheme val="minor"/>
      </rPr>
      <t xml:space="preserve"> Use this sheet to add or subtract areas not accounted for in the main spreadsheet such as turn lanes, shoulders, or any other unique circumstances. Specify which Lift the modification applies to. The additions and subtractions will be reflected in the total area used to calculate quantities on the main spreadsheet.</t>
    </r>
  </si>
  <si>
    <t>Name*</t>
  </si>
  <si>
    <t>Scratch Course Area Including Additions and Exclusions (Sq. Yd.)</t>
  </si>
  <si>
    <t>*This field will automatically populate once length and width is entered.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</si>
</sst>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quot;$&quot;#,##0.00"/>
    <numFmt numFmtId="165" formatCode="0.000"/>
    <numFmt numFmtId="166" formatCode="0.0%"/>
    <numFmt numFmtId="167" formatCode="0.0"/>
  </numFmts>
  <fonts count="7" x14ac:knownFonts="1">
    <font>
      <sz val="11"/>
      <color theme="1"/>
      <name val="Calibri"/>
      <family val="2"/>
      <scheme val="minor"/>
    </font>
    <font>
      <b/>
      <sz val="11"/>
      <color theme="1"/>
      <name val="Calibri"/>
      <family val="2"/>
      <scheme val="minor"/>
    </font>
    <font>
      <b/>
      <sz val="12"/>
      <color theme="1"/>
      <name val="Calibri"/>
      <family val="2"/>
      <scheme val="minor"/>
    </font>
    <font>
      <b/>
      <sz val="10"/>
      <color theme="1"/>
      <name val="Calibri"/>
      <family val="2"/>
      <scheme val="minor"/>
    </font>
    <font>
      <b/>
      <sz val="14"/>
      <color theme="1"/>
      <name val="Calibri"/>
      <family val="2"/>
      <scheme val="minor"/>
    </font>
    <font>
      <sz val="11"/>
      <name val="Calibri"/>
      <family val="2"/>
      <scheme val="minor"/>
    </font>
    <font>
      <sz val="11"/>
      <color theme="0"/>
      <name val="Calibri"/>
      <family val="2"/>
      <scheme val="minor"/>
    </font>
  </fonts>
  <fills count="8">
    <fill>
      <patternFill patternType="none"/>
    </fill>
    <fill>
      <patternFill patternType="gray125"/>
    </fill>
    <fill>
      <patternFill patternType="solid">
        <fgColor theme="6"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theme="8" tint="0.59999389629810485"/>
        <bgColor indexed="64"/>
      </patternFill>
    </fill>
  </fills>
  <borders count="1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112">
    <xf numFmtId="0" fontId="0" fillId="0" borderId="0" xfId="0"/>
    <xf numFmtId="0" fontId="0" fillId="0" borderId="5" xfId="0" applyBorder="1"/>
    <xf numFmtId="0" fontId="0" fillId="0" borderId="6" xfId="0" applyBorder="1"/>
    <xf numFmtId="0" fontId="0" fillId="0" borderId="7" xfId="0" applyBorder="1"/>
    <xf numFmtId="0" fontId="1" fillId="2" borderId="1" xfId="0" applyFont="1" applyFill="1" applyBorder="1" applyAlignment="1">
      <alignment horizontal="center"/>
    </xf>
    <xf numFmtId="0" fontId="0" fillId="0" borderId="0" xfId="0" applyBorder="1"/>
    <xf numFmtId="164" fontId="0" fillId="0" borderId="0" xfId="0" applyNumberFormat="1" applyBorder="1"/>
    <xf numFmtId="0" fontId="0" fillId="0" borderId="9" xfId="0" applyBorder="1"/>
    <xf numFmtId="0" fontId="0" fillId="0" borderId="10" xfId="0" applyBorder="1"/>
    <xf numFmtId="0" fontId="1" fillId="2" borderId="11" xfId="0" applyFont="1" applyFill="1" applyBorder="1" applyAlignment="1">
      <alignment horizontal="center"/>
    </xf>
    <xf numFmtId="0" fontId="3" fillId="2" borderId="1" xfId="0" applyFont="1" applyFill="1" applyBorder="1" applyAlignment="1">
      <alignment horizontal="center"/>
    </xf>
    <xf numFmtId="0" fontId="2" fillId="0" borderId="0" xfId="0" applyFont="1" applyBorder="1" applyAlignment="1">
      <alignment horizontal="center"/>
    </xf>
    <xf numFmtId="0" fontId="0" fillId="0" borderId="9" xfId="0" applyBorder="1" applyProtection="1"/>
    <xf numFmtId="0" fontId="0" fillId="0" borderId="0" xfId="0" applyBorder="1" applyProtection="1"/>
    <xf numFmtId="0" fontId="0" fillId="0" borderId="10" xfId="0" applyBorder="1" applyProtection="1"/>
    <xf numFmtId="2" fontId="0" fillId="4" borderId="8" xfId="0" applyNumberFormat="1" applyFill="1" applyBorder="1" applyAlignment="1" applyProtection="1">
      <alignment horizontal="center"/>
    </xf>
    <xf numFmtId="164" fontId="0" fillId="4" borderId="7" xfId="0" applyNumberFormat="1" applyFill="1" applyBorder="1" applyAlignment="1" applyProtection="1">
      <alignment horizontal="center"/>
    </xf>
    <xf numFmtId="164" fontId="0" fillId="3" borderId="1" xfId="0" applyNumberFormat="1" applyFill="1" applyBorder="1" applyAlignment="1" applyProtection="1">
      <alignment horizontal="center"/>
    </xf>
    <xf numFmtId="164" fontId="0" fillId="3" borderId="1" xfId="0" applyNumberFormat="1" applyFont="1" applyFill="1" applyBorder="1" applyAlignment="1" applyProtection="1">
      <alignment horizontal="center"/>
    </xf>
    <xf numFmtId="2" fontId="0" fillId="4" borderId="8" xfId="0" applyNumberFormat="1" applyFont="1" applyFill="1" applyBorder="1" applyAlignment="1" applyProtection="1">
      <alignment horizontal="center"/>
    </xf>
    <xf numFmtId="164" fontId="0" fillId="4" borderId="5" xfId="0" applyNumberFormat="1" applyFont="1" applyFill="1" applyBorder="1" applyAlignment="1" applyProtection="1">
      <alignment horizontal="center"/>
    </xf>
    <xf numFmtId="164" fontId="0" fillId="4" borderId="1" xfId="0" applyNumberFormat="1" applyFont="1" applyFill="1" applyBorder="1" applyAlignment="1" applyProtection="1">
      <alignment horizontal="center"/>
    </xf>
    <xf numFmtId="0" fontId="1" fillId="0" borderId="0" xfId="0" applyFont="1" applyBorder="1" applyAlignment="1" applyProtection="1">
      <alignment horizontal="center"/>
    </xf>
    <xf numFmtId="2" fontId="0" fillId="3" borderId="5" xfId="0" applyNumberFormat="1" applyFont="1" applyFill="1" applyBorder="1" applyAlignment="1" applyProtection="1">
      <alignment horizontal="center"/>
    </xf>
    <xf numFmtId="164" fontId="0" fillId="3" borderId="8" xfId="0" applyNumberFormat="1" applyFont="1" applyFill="1" applyBorder="1" applyAlignment="1" applyProtection="1">
      <alignment horizontal="center"/>
    </xf>
    <xf numFmtId="2" fontId="0" fillId="3" borderId="5" xfId="0" applyNumberFormat="1" applyFill="1" applyBorder="1" applyAlignment="1" applyProtection="1">
      <alignment horizontal="center"/>
    </xf>
    <xf numFmtId="164" fontId="0" fillId="3" borderId="8" xfId="0" applyNumberFormat="1" applyFill="1" applyBorder="1" applyAlignment="1" applyProtection="1">
      <alignment horizontal="center"/>
    </xf>
    <xf numFmtId="165" fontId="0" fillId="3" borderId="7" xfId="0" applyNumberFormat="1" applyFill="1" applyBorder="1" applyAlignment="1" applyProtection="1">
      <alignment horizontal="center"/>
    </xf>
    <xf numFmtId="0" fontId="0" fillId="0" borderId="5" xfId="0" applyBorder="1" applyProtection="1"/>
    <xf numFmtId="0" fontId="0" fillId="0" borderId="6" xfId="0" applyFont="1" applyBorder="1" applyProtection="1"/>
    <xf numFmtId="0" fontId="0" fillId="0" borderId="6" xfId="0" applyBorder="1" applyProtection="1"/>
    <xf numFmtId="0" fontId="0" fillId="0" borderId="7" xfId="0" applyBorder="1" applyProtection="1"/>
    <xf numFmtId="0" fontId="0" fillId="0" borderId="8" xfId="0" applyBorder="1" applyAlignment="1" applyProtection="1">
      <alignment horizontal="center"/>
      <protection locked="0"/>
    </xf>
    <xf numFmtId="0" fontId="0" fillId="0" borderId="5" xfId="0" applyBorder="1" applyAlignment="1" applyProtection="1">
      <alignment horizontal="center"/>
      <protection locked="0"/>
    </xf>
    <xf numFmtId="164" fontId="0" fillId="0" borderId="8" xfId="0" applyNumberFormat="1" applyBorder="1" applyAlignment="1" applyProtection="1">
      <alignment horizontal="center"/>
      <protection locked="0"/>
    </xf>
    <xf numFmtId="166" fontId="0" fillId="0" borderId="1" xfId="0" applyNumberFormat="1" applyBorder="1" applyAlignment="1" applyProtection="1">
      <alignment horizont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2" fillId="0" borderId="0" xfId="0" applyFont="1" applyBorder="1" applyAlignment="1">
      <alignment horizontal="center"/>
    </xf>
    <xf numFmtId="3" fontId="0" fillId="0" borderId="8" xfId="0" applyNumberFormat="1" applyFill="1" applyBorder="1" applyAlignment="1" applyProtection="1">
      <alignment horizontal="center"/>
      <protection locked="0"/>
    </xf>
    <xf numFmtId="0" fontId="0" fillId="0" borderId="0" xfId="0" applyAlignment="1">
      <alignment horizontal="left"/>
    </xf>
    <xf numFmtId="2" fontId="0" fillId="5" borderId="8" xfId="0" applyNumberFormat="1" applyFill="1" applyBorder="1" applyAlignment="1" applyProtection="1">
      <alignment horizontal="center"/>
      <protection locked="0"/>
    </xf>
    <xf numFmtId="0" fontId="1" fillId="0" borderId="2" xfId="0" applyFont="1" applyBorder="1" applyAlignment="1">
      <alignment horizontal="right"/>
    </xf>
    <xf numFmtId="0" fontId="1" fillId="0" borderId="9" xfId="0" applyFont="1" applyBorder="1" applyAlignment="1">
      <alignment horizontal="right"/>
    </xf>
    <xf numFmtId="0" fontId="1" fillId="0" borderId="0" xfId="0" applyFont="1" applyBorder="1" applyAlignment="1" applyProtection="1">
      <alignment horizontal="center"/>
      <protection locked="0"/>
    </xf>
    <xf numFmtId="0" fontId="1" fillId="0" borderId="5" xfId="0" applyFont="1" applyBorder="1" applyAlignment="1">
      <alignment horizontal="right"/>
    </xf>
    <xf numFmtId="0" fontId="1" fillId="0" borderId="0" xfId="0" applyFont="1" applyBorder="1" applyAlignment="1">
      <alignment horizontal="right"/>
    </xf>
    <xf numFmtId="0" fontId="2" fillId="0" borderId="0" xfId="0" applyFont="1" applyBorder="1" applyAlignment="1" applyProtection="1">
      <alignment horizontal="center"/>
    </xf>
    <xf numFmtId="0" fontId="2" fillId="0" borderId="10" xfId="0" applyFont="1" applyBorder="1" applyAlignment="1" applyProtection="1">
      <alignment horizontal="center"/>
    </xf>
    <xf numFmtId="0" fontId="5" fillId="0" borderId="0" xfId="0" applyFont="1"/>
    <xf numFmtId="0" fontId="0" fillId="0" borderId="2" xfId="0" applyBorder="1"/>
    <xf numFmtId="0" fontId="0" fillId="0" borderId="3" xfId="0" applyBorder="1"/>
    <xf numFmtId="0" fontId="0" fillId="0" borderId="4" xfId="0" applyBorder="1"/>
    <xf numFmtId="0" fontId="0" fillId="0" borderId="0" xfId="0" applyBorder="1" applyAlignment="1">
      <alignment horizontal="left" vertical="center" wrapText="1"/>
    </xf>
    <xf numFmtId="0" fontId="0" fillId="0" borderId="2" xfId="0" applyBorder="1" applyProtection="1"/>
    <xf numFmtId="0" fontId="0" fillId="0" borderId="3" xfId="0" applyBorder="1" applyProtection="1"/>
    <xf numFmtId="0" fontId="0" fillId="0" borderId="4" xfId="0" applyBorder="1" applyProtection="1"/>
    <xf numFmtId="167" fontId="0" fillId="4" borderId="8" xfId="0" applyNumberFormat="1" applyFill="1" applyBorder="1" applyAlignment="1" applyProtection="1">
      <alignment horizontal="center"/>
    </xf>
    <xf numFmtId="0" fontId="6" fillId="0" borderId="0" xfId="0" applyFont="1"/>
    <xf numFmtId="0" fontId="1" fillId="6" borderId="1" xfId="0" applyFont="1" applyFill="1" applyBorder="1" applyAlignment="1" applyProtection="1">
      <alignment horizontal="center"/>
    </xf>
    <xf numFmtId="0" fontId="1" fillId="6" borderId="12" xfId="0" applyFont="1" applyFill="1" applyBorder="1" applyAlignment="1" applyProtection="1">
      <alignment horizontal="center"/>
    </xf>
    <xf numFmtId="0" fontId="1" fillId="6" borderId="11" xfId="0" applyFont="1" applyFill="1" applyBorder="1" applyAlignment="1" applyProtection="1">
      <alignment horizontal="center"/>
    </xf>
    <xf numFmtId="0" fontId="1" fillId="6" borderId="4" xfId="0" applyFont="1" applyFill="1" applyBorder="1" applyAlignment="1" applyProtection="1">
      <alignment horizontal="center"/>
    </xf>
    <xf numFmtId="167" fontId="0" fillId="7" borderId="0" xfId="0" applyNumberFormat="1" applyFill="1" applyBorder="1"/>
    <xf numFmtId="0" fontId="1" fillId="2" borderId="14" xfId="0" applyFont="1" applyFill="1" applyBorder="1" applyAlignment="1">
      <alignment horizontal="center"/>
    </xf>
    <xf numFmtId="0" fontId="1" fillId="2" borderId="15" xfId="0" applyFont="1" applyFill="1" applyBorder="1" applyAlignment="1">
      <alignment horizontal="center"/>
    </xf>
    <xf numFmtId="0" fontId="1" fillId="2" borderId="16" xfId="0" applyFont="1" applyFill="1" applyBorder="1" applyAlignment="1">
      <alignment horizontal="center"/>
    </xf>
    <xf numFmtId="0" fontId="0" fillId="7" borderId="9" xfId="0" applyFill="1" applyBorder="1" applyAlignment="1">
      <alignment horizontal="center" vertical="center"/>
    </xf>
    <xf numFmtId="0" fontId="0" fillId="7" borderId="5" xfId="0" applyFill="1" applyBorder="1" applyAlignment="1">
      <alignment horizontal="center" vertical="center"/>
    </xf>
    <xf numFmtId="167" fontId="0" fillId="7" borderId="6" xfId="0" applyNumberFormat="1" applyFill="1" applyBorder="1"/>
    <xf numFmtId="0" fontId="1" fillId="2" borderId="14" xfId="0" applyFont="1" applyFill="1" applyBorder="1" applyAlignment="1">
      <alignment wrapText="1"/>
    </xf>
    <xf numFmtId="167" fontId="0" fillId="7" borderId="16" xfId="0" applyNumberFormat="1" applyFill="1" applyBorder="1"/>
    <xf numFmtId="0" fontId="1" fillId="2" borderId="17" xfId="0" applyFont="1" applyFill="1" applyBorder="1" applyAlignment="1">
      <alignment wrapText="1"/>
    </xf>
    <xf numFmtId="167" fontId="0" fillId="7" borderId="18" xfId="0" applyNumberFormat="1" applyFill="1" applyBorder="1"/>
    <xf numFmtId="0" fontId="0" fillId="0" borderId="0" xfId="0" applyBorder="1" applyProtection="1">
      <protection locked="0"/>
    </xf>
    <xf numFmtId="0" fontId="0" fillId="0" borderId="6" xfId="0" applyBorder="1" applyProtection="1">
      <protection locked="0"/>
    </xf>
    <xf numFmtId="0" fontId="0" fillId="0" borderId="10" xfId="0" applyBorder="1" applyAlignment="1" applyProtection="1">
      <alignment wrapText="1"/>
      <protection locked="0"/>
    </xf>
    <xf numFmtId="0" fontId="0" fillId="0" borderId="7" xfId="0" applyBorder="1" applyAlignment="1" applyProtection="1">
      <alignment wrapText="1"/>
      <protection locked="0"/>
    </xf>
    <xf numFmtId="0" fontId="1" fillId="6" borderId="11" xfId="0" applyFont="1" applyFill="1" applyBorder="1" applyAlignment="1" applyProtection="1">
      <alignment horizontal="center" vertical="center"/>
    </xf>
    <xf numFmtId="0" fontId="1" fillId="6" borderId="13" xfId="0" applyFont="1" applyFill="1" applyBorder="1" applyAlignment="1" applyProtection="1">
      <alignment horizontal="center" vertical="center"/>
    </xf>
    <xf numFmtId="0" fontId="1" fillId="6" borderId="12" xfId="0" applyFont="1" applyFill="1" applyBorder="1" applyAlignment="1" applyProtection="1">
      <alignment horizontal="center" vertical="center"/>
    </xf>
    <xf numFmtId="0" fontId="1" fillId="6" borderId="11" xfId="0" applyFont="1" applyFill="1" applyBorder="1" applyAlignment="1">
      <alignment horizontal="center"/>
    </xf>
    <xf numFmtId="0" fontId="1" fillId="6" borderId="13" xfId="0" applyFont="1" applyFill="1" applyBorder="1" applyAlignment="1">
      <alignment horizontal="center"/>
    </xf>
    <xf numFmtId="0" fontId="1" fillId="6" borderId="12" xfId="0" applyFont="1" applyFill="1" applyBorder="1" applyAlignment="1">
      <alignment horizontal="center"/>
    </xf>
    <xf numFmtId="0" fontId="2" fillId="0" borderId="9" xfId="0" applyFont="1" applyBorder="1" applyAlignment="1" applyProtection="1">
      <alignment horizontal="center"/>
    </xf>
    <xf numFmtId="0" fontId="2" fillId="0" borderId="0" xfId="0" applyFont="1" applyBorder="1" applyAlignment="1" applyProtection="1">
      <alignment horizontal="center"/>
    </xf>
    <xf numFmtId="0" fontId="2" fillId="0" borderId="10" xfId="0" applyFont="1" applyBorder="1" applyAlignment="1" applyProtection="1">
      <alignment horizontal="center"/>
    </xf>
    <xf numFmtId="0" fontId="4" fillId="0" borderId="0" xfId="0" applyFont="1" applyAlignment="1">
      <alignment horizont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0" borderId="9" xfId="0" applyFont="1" applyBorder="1" applyAlignment="1">
      <alignment horizontal="center"/>
    </xf>
    <xf numFmtId="0" fontId="2" fillId="0" borderId="0" xfId="0" applyFont="1" applyBorder="1" applyAlignment="1">
      <alignment horizontal="center"/>
    </xf>
    <xf numFmtId="0" fontId="2" fillId="0" borderId="10" xfId="0" applyFont="1" applyBorder="1" applyAlignment="1">
      <alignment horizontal="center"/>
    </xf>
    <xf numFmtId="0" fontId="2" fillId="6" borderId="2" xfId="0" applyFont="1" applyFill="1" applyBorder="1" applyAlignment="1" applyProtection="1">
      <alignment horizontal="center" vertical="center"/>
    </xf>
    <xf numFmtId="0" fontId="2" fillId="6" borderId="3" xfId="0" applyFont="1" applyFill="1" applyBorder="1" applyAlignment="1" applyProtection="1">
      <alignment horizontal="center" vertical="center"/>
    </xf>
    <xf numFmtId="0" fontId="2" fillId="6" borderId="4" xfId="0" applyFont="1" applyFill="1" applyBorder="1" applyAlignment="1" applyProtection="1">
      <alignment horizontal="center" vertical="center"/>
    </xf>
    <xf numFmtId="0" fontId="2" fillId="6" borderId="5" xfId="0" applyFont="1" applyFill="1" applyBorder="1" applyAlignment="1" applyProtection="1">
      <alignment horizontal="center" vertical="center"/>
    </xf>
    <xf numFmtId="0" fontId="2" fillId="6" borderId="6" xfId="0" applyFont="1" applyFill="1" applyBorder="1" applyAlignment="1" applyProtection="1">
      <alignment horizontal="center" vertical="center"/>
    </xf>
    <xf numFmtId="0" fontId="2" fillId="6" borderId="7" xfId="0" applyFont="1" applyFill="1" applyBorder="1" applyAlignment="1" applyProtection="1">
      <alignment horizontal="center" vertical="center"/>
    </xf>
    <xf numFmtId="0" fontId="0" fillId="0" borderId="3" xfId="0" applyFont="1" applyBorder="1" applyAlignment="1" applyProtection="1">
      <alignment horizontal="left"/>
      <protection locked="0"/>
    </xf>
    <xf numFmtId="0" fontId="0" fillId="0" borderId="4" xfId="0" applyFont="1" applyBorder="1" applyAlignment="1" applyProtection="1">
      <alignment horizontal="left"/>
      <protection locked="0"/>
    </xf>
    <xf numFmtId="0" fontId="0" fillId="0" borderId="0" xfId="0" applyFont="1" applyBorder="1" applyAlignment="1" applyProtection="1">
      <alignment horizontal="left"/>
      <protection locked="0"/>
    </xf>
    <xf numFmtId="0" fontId="0" fillId="0" borderId="10" xfId="0" applyFont="1" applyBorder="1" applyAlignment="1" applyProtection="1">
      <alignment horizontal="left"/>
      <protection locked="0"/>
    </xf>
    <xf numFmtId="0" fontId="0" fillId="0" borderId="6" xfId="0" applyFont="1" applyBorder="1" applyAlignment="1" applyProtection="1">
      <alignment horizontal="left"/>
      <protection locked="0"/>
    </xf>
    <xf numFmtId="0" fontId="0" fillId="0" borderId="7" xfId="0" applyFont="1" applyBorder="1" applyAlignment="1" applyProtection="1">
      <alignment horizontal="left"/>
      <protection locked="0"/>
    </xf>
    <xf numFmtId="0" fontId="0" fillId="0" borderId="0" xfId="0" applyAlignment="1">
      <alignment horizontal="left" vertical="top" wrapText="1"/>
    </xf>
    <xf numFmtId="0" fontId="4" fillId="0" borderId="0" xfId="0" applyFont="1" applyBorder="1" applyAlignment="1">
      <alignment horizontal="center"/>
    </xf>
    <xf numFmtId="0" fontId="0" fillId="0" borderId="0" xfId="0" applyBorder="1" applyAlignment="1">
      <alignment horizontal="left"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67"/>
  <sheetViews>
    <sheetView tabSelected="1" workbookViewId="0">
      <selection activeCell="D8" sqref="D8:E8"/>
    </sheetView>
  </sheetViews>
  <sheetFormatPr defaultRowHeight="15" x14ac:dyDescent="0.25"/>
  <cols>
    <col min="1" max="1" width="9.140625" customWidth="1"/>
    <col min="2" max="2" width="1.7109375" customWidth="1"/>
    <col min="3" max="5" width="25.7109375" customWidth="1"/>
    <col min="6" max="6" width="1.7109375" customWidth="1"/>
  </cols>
  <sheetData>
    <row r="1" spans="2:6" ht="18.75" x14ac:dyDescent="0.3">
      <c r="C1" s="87" t="s">
        <v>25</v>
      </c>
      <c r="D1" s="87"/>
      <c r="E1" s="87"/>
    </row>
    <row r="3" spans="2:6" s="40" customFormat="1" ht="203.1" customHeight="1" x14ac:dyDescent="0.25">
      <c r="C3" s="109" t="s">
        <v>59</v>
      </c>
      <c r="D3" s="109"/>
      <c r="E3" s="109"/>
    </row>
    <row r="4" spans="2:6" ht="15.75" thickBot="1" x14ac:dyDescent="0.3"/>
    <row r="5" spans="2:6" ht="10.5" customHeight="1" x14ac:dyDescent="0.25">
      <c r="B5" s="88" t="s">
        <v>0</v>
      </c>
      <c r="C5" s="89"/>
      <c r="D5" s="89"/>
      <c r="E5" s="89"/>
      <c r="F5" s="90"/>
    </row>
    <row r="6" spans="2:6" ht="10.5" customHeight="1" thickBot="1" x14ac:dyDescent="0.3">
      <c r="B6" s="91"/>
      <c r="C6" s="92"/>
      <c r="D6" s="92"/>
      <c r="E6" s="92"/>
      <c r="F6" s="93"/>
    </row>
    <row r="7" spans="2:6" ht="15.75" thickBot="1" x14ac:dyDescent="0.3">
      <c r="B7" s="7"/>
      <c r="F7" s="8"/>
    </row>
    <row r="8" spans="2:6" x14ac:dyDescent="0.25">
      <c r="B8" s="7"/>
      <c r="C8" s="42" t="s">
        <v>38</v>
      </c>
      <c r="D8" s="103"/>
      <c r="E8" s="104"/>
      <c r="F8" s="8"/>
    </row>
    <row r="9" spans="2:6" x14ac:dyDescent="0.25">
      <c r="B9" s="7"/>
      <c r="C9" s="43" t="s">
        <v>39</v>
      </c>
      <c r="D9" s="105"/>
      <c r="E9" s="106"/>
      <c r="F9" s="8"/>
    </row>
    <row r="10" spans="2:6" x14ac:dyDescent="0.25">
      <c r="B10" s="7"/>
      <c r="C10" s="43" t="s">
        <v>40</v>
      </c>
      <c r="D10" s="105"/>
      <c r="E10" s="106"/>
      <c r="F10" s="8"/>
    </row>
    <row r="11" spans="2:6" x14ac:dyDescent="0.25">
      <c r="B11" s="7"/>
      <c r="C11" s="43" t="s">
        <v>41</v>
      </c>
      <c r="D11" s="105"/>
      <c r="E11" s="106"/>
      <c r="F11" s="8"/>
    </row>
    <row r="12" spans="2:6" ht="15.75" thickBot="1" x14ac:dyDescent="0.3">
      <c r="B12" s="7"/>
      <c r="C12" s="45" t="s">
        <v>42</v>
      </c>
      <c r="D12" s="107"/>
      <c r="E12" s="108"/>
      <c r="F12" s="8"/>
    </row>
    <row r="13" spans="2:6" ht="15.75" thickBot="1" x14ac:dyDescent="0.3">
      <c r="B13" s="7"/>
      <c r="F13" s="8"/>
    </row>
    <row r="14" spans="2:6" ht="15.75" thickBot="1" x14ac:dyDescent="0.3">
      <c r="B14" s="7"/>
      <c r="C14" s="4" t="s">
        <v>26</v>
      </c>
      <c r="D14" s="9" t="s">
        <v>27</v>
      </c>
      <c r="E14" s="4" t="s">
        <v>34</v>
      </c>
      <c r="F14" s="8"/>
    </row>
    <row r="15" spans="2:6" ht="15.75" thickBot="1" x14ac:dyDescent="0.3">
      <c r="B15" s="7"/>
      <c r="C15" s="32">
        <v>5280</v>
      </c>
      <c r="D15" s="33">
        <v>11</v>
      </c>
      <c r="E15" s="39">
        <v>1</v>
      </c>
      <c r="F15" s="8"/>
    </row>
    <row r="16" spans="2:6" ht="15.75" thickBot="1" x14ac:dyDescent="0.3">
      <c r="B16" s="7"/>
      <c r="C16" s="5"/>
      <c r="D16" s="5"/>
      <c r="E16" s="5"/>
      <c r="F16" s="8"/>
    </row>
    <row r="17" spans="2:6" ht="15.75" thickBot="1" x14ac:dyDescent="0.3">
      <c r="B17" s="7"/>
      <c r="C17" s="4" t="s">
        <v>28</v>
      </c>
      <c r="D17" s="9" t="s">
        <v>29</v>
      </c>
      <c r="E17" s="4" t="s">
        <v>35</v>
      </c>
      <c r="F17" s="8"/>
    </row>
    <row r="18" spans="2:6" ht="15.75" thickBot="1" x14ac:dyDescent="0.3">
      <c r="B18" s="7"/>
      <c r="C18" s="32">
        <v>5280</v>
      </c>
      <c r="D18" s="33">
        <v>12</v>
      </c>
      <c r="E18" s="39">
        <v>1</v>
      </c>
      <c r="F18" s="8"/>
    </row>
    <row r="19" spans="2:6" x14ac:dyDescent="0.25">
      <c r="B19" s="7"/>
      <c r="F19" s="8"/>
    </row>
    <row r="20" spans="2:6" ht="15" customHeight="1" x14ac:dyDescent="0.25">
      <c r="B20" s="94" t="s">
        <v>1</v>
      </c>
      <c r="C20" s="95"/>
      <c r="D20" s="95"/>
      <c r="E20" s="95"/>
      <c r="F20" s="96"/>
    </row>
    <row r="21" spans="2:6" ht="4.5" customHeight="1" thickBot="1" x14ac:dyDescent="0.3">
      <c r="B21" s="7"/>
      <c r="C21" s="5"/>
      <c r="D21" s="11"/>
      <c r="E21" s="5"/>
      <c r="F21" s="8"/>
    </row>
    <row r="22" spans="2:6" ht="15.75" thickBot="1" x14ac:dyDescent="0.3">
      <c r="B22" s="7"/>
      <c r="C22" s="4" t="s">
        <v>18</v>
      </c>
      <c r="D22" s="4" t="s">
        <v>6</v>
      </c>
      <c r="E22" s="4" t="s">
        <v>20</v>
      </c>
      <c r="F22" s="8"/>
    </row>
    <row r="23" spans="2:6" ht="15.75" thickBot="1" x14ac:dyDescent="0.3">
      <c r="B23" s="7"/>
      <c r="C23" s="32">
        <v>15</v>
      </c>
      <c r="D23" s="57">
        <f>$C$15*$D$15*$E$15/9</f>
        <v>6453.333333333333</v>
      </c>
      <c r="E23" s="34">
        <v>125</v>
      </c>
      <c r="F23" s="8"/>
    </row>
    <row r="24" spans="2:6" ht="15.75" thickBot="1" x14ac:dyDescent="0.3">
      <c r="B24" s="7"/>
      <c r="C24" s="5"/>
      <c r="D24" s="5"/>
      <c r="E24" s="6"/>
      <c r="F24" s="8"/>
    </row>
    <row r="25" spans="2:6" ht="15.75" thickBot="1" x14ac:dyDescent="0.3">
      <c r="B25" s="7"/>
      <c r="C25" s="4" t="s">
        <v>19</v>
      </c>
      <c r="D25" s="4" t="s">
        <v>5</v>
      </c>
      <c r="E25" s="4" t="s">
        <v>21</v>
      </c>
      <c r="F25" s="8"/>
    </row>
    <row r="26" spans="2:6" ht="15.75" thickBot="1" x14ac:dyDescent="0.3">
      <c r="B26" s="7"/>
      <c r="C26" s="32">
        <v>15</v>
      </c>
      <c r="D26" s="57">
        <f>$C$18*$D$18*$E$18/9</f>
        <v>7040</v>
      </c>
      <c r="E26" s="34">
        <v>125</v>
      </c>
      <c r="F26" s="8"/>
    </row>
    <row r="27" spans="2:6" x14ac:dyDescent="0.25">
      <c r="B27" s="7"/>
      <c r="C27" s="5"/>
      <c r="D27" s="5"/>
      <c r="E27" s="6"/>
      <c r="F27" s="8"/>
    </row>
    <row r="28" spans="2:6" ht="15" customHeight="1" x14ac:dyDescent="0.25">
      <c r="B28" s="94" t="s">
        <v>2</v>
      </c>
      <c r="C28" s="95"/>
      <c r="D28" s="95"/>
      <c r="E28" s="95"/>
      <c r="F28" s="96"/>
    </row>
    <row r="29" spans="2:6" ht="4.5" customHeight="1" thickBot="1" x14ac:dyDescent="0.3">
      <c r="B29" s="7"/>
      <c r="C29" s="5"/>
      <c r="D29" s="11"/>
      <c r="E29" s="5"/>
      <c r="F29" s="8"/>
    </row>
    <row r="30" spans="2:6" ht="15.75" thickBot="1" x14ac:dyDescent="0.3">
      <c r="B30" s="7"/>
      <c r="C30" s="10" t="s">
        <v>24</v>
      </c>
      <c r="D30" s="4" t="s">
        <v>4</v>
      </c>
      <c r="E30" s="4" t="s">
        <v>3</v>
      </c>
      <c r="F30" s="8"/>
    </row>
    <row r="31" spans="2:6" ht="15.75" thickBot="1" x14ac:dyDescent="0.3">
      <c r="B31" s="7"/>
      <c r="C31" s="35">
        <v>0.13500000000000001</v>
      </c>
      <c r="D31" s="36">
        <v>1.02</v>
      </c>
      <c r="E31" s="37">
        <v>3.5</v>
      </c>
      <c r="F31" s="8"/>
    </row>
    <row r="32" spans="2:6" ht="15.75" thickBot="1" x14ac:dyDescent="0.3">
      <c r="B32" s="1"/>
      <c r="C32" s="2"/>
      <c r="D32" s="2"/>
      <c r="E32" s="2"/>
      <c r="F32" s="3"/>
    </row>
    <row r="33" spans="2:6" x14ac:dyDescent="0.25">
      <c r="B33" s="5"/>
      <c r="C33" s="5"/>
      <c r="D33" s="5"/>
      <c r="E33" s="5"/>
      <c r="F33" s="5"/>
    </row>
    <row r="34" spans="2:6" ht="15.75" thickBot="1" x14ac:dyDescent="0.3">
      <c r="B34" s="5"/>
      <c r="C34" s="5"/>
      <c r="D34" s="5"/>
      <c r="E34" s="5"/>
      <c r="F34" s="5"/>
    </row>
    <row r="35" spans="2:6" ht="10.5" customHeight="1" x14ac:dyDescent="0.25">
      <c r="B35" s="97" t="s">
        <v>7</v>
      </c>
      <c r="C35" s="98"/>
      <c r="D35" s="98"/>
      <c r="E35" s="98"/>
      <c r="F35" s="99"/>
    </row>
    <row r="36" spans="2:6" ht="10.5" customHeight="1" thickBot="1" x14ac:dyDescent="0.3">
      <c r="B36" s="100"/>
      <c r="C36" s="101"/>
      <c r="D36" s="101"/>
      <c r="E36" s="101"/>
      <c r="F36" s="102"/>
    </row>
    <row r="37" spans="2:6" ht="15.75" thickBot="1" x14ac:dyDescent="0.3">
      <c r="B37" s="54"/>
      <c r="C37" s="55"/>
      <c r="D37" s="55"/>
      <c r="E37" s="55"/>
      <c r="F37" s="56"/>
    </row>
    <row r="38" spans="2:6" ht="15.75" thickBot="1" x14ac:dyDescent="0.3">
      <c r="B38" s="12"/>
      <c r="C38" s="59" t="s">
        <v>8</v>
      </c>
      <c r="D38" s="59" t="s">
        <v>11</v>
      </c>
      <c r="E38" s="60" t="s">
        <v>12</v>
      </c>
      <c r="F38" s="14"/>
    </row>
    <row r="39" spans="2:6" ht="15.75" thickBot="1" x14ac:dyDescent="0.3">
      <c r="B39" s="12"/>
      <c r="C39" s="15">
        <f>$C$47+$C$50</f>
        <v>101.19999999999999</v>
      </c>
      <c r="D39" s="15">
        <f>$C$55+$C$58</f>
        <v>3210.0941035491487</v>
      </c>
      <c r="E39" s="16">
        <f>IF(SUM($C$42,$D$42)&gt;0,D47+D50+D55+D58,"$0.00")</f>
        <v>3.540315616959786</v>
      </c>
      <c r="F39" s="14"/>
    </row>
    <row r="40" spans="2:6" ht="15.75" thickBot="1" x14ac:dyDescent="0.3">
      <c r="B40" s="12"/>
      <c r="C40" s="13"/>
      <c r="D40" s="13"/>
      <c r="E40" s="13"/>
      <c r="F40" s="14"/>
    </row>
    <row r="41" spans="2:6" ht="15.75" thickBot="1" x14ac:dyDescent="0.3">
      <c r="B41" s="12"/>
      <c r="C41" s="59" t="s">
        <v>32</v>
      </c>
      <c r="D41" s="59" t="s">
        <v>33</v>
      </c>
      <c r="E41" s="59" t="s">
        <v>37</v>
      </c>
      <c r="F41" s="14"/>
    </row>
    <row r="42" spans="2:6" ht="15.75" thickBot="1" x14ac:dyDescent="0.3">
      <c r="B42" s="12"/>
      <c r="C42" s="17">
        <f>$E$47+$E$50</f>
        <v>12650</v>
      </c>
      <c r="D42" s="17">
        <f>$E$31*$D$39</f>
        <v>11235.32936242202</v>
      </c>
      <c r="E42" s="18">
        <f>IF(SUM($D$42,$C$42)&gt;0,
IF($D$66&gt;=$D$63,($C$42+$D$42)/($D$66*9/($D$18*5280)),
IF($D$63&gt;$D$66,($C$42+$D$42)/($D$63*9/($D$15*5280)),"$0.00")),"$0.00")</f>
        <v>23885.32936242202</v>
      </c>
      <c r="F42" s="14"/>
    </row>
    <row r="43" spans="2:6" x14ac:dyDescent="0.25">
      <c r="B43" s="12"/>
      <c r="C43" s="13"/>
      <c r="D43" s="13"/>
      <c r="E43" s="13"/>
      <c r="F43" s="14"/>
    </row>
    <row r="44" spans="2:6" ht="15" customHeight="1" x14ac:dyDescent="0.25">
      <c r="B44" s="84" t="s">
        <v>1</v>
      </c>
      <c r="C44" s="85"/>
      <c r="D44" s="85"/>
      <c r="E44" s="85"/>
      <c r="F44" s="86"/>
    </row>
    <row r="45" spans="2:6" ht="4.5" customHeight="1" thickBot="1" x14ac:dyDescent="0.3">
      <c r="B45" s="12"/>
      <c r="C45" s="13"/>
      <c r="D45" s="47"/>
      <c r="E45" s="13"/>
      <c r="F45" s="14"/>
    </row>
    <row r="46" spans="2:6" ht="15.75" thickBot="1" x14ac:dyDescent="0.3">
      <c r="B46" s="12"/>
      <c r="C46" s="59" t="s">
        <v>16</v>
      </c>
      <c r="D46" s="61" t="s">
        <v>10</v>
      </c>
      <c r="E46" s="59" t="s">
        <v>30</v>
      </c>
      <c r="F46" s="14"/>
    </row>
    <row r="47" spans="2:6" ht="15.75" thickBot="1" x14ac:dyDescent="0.3">
      <c r="B47" s="12"/>
      <c r="C47" s="19">
        <f>$C$23*$D$63/2000</f>
        <v>48.4</v>
      </c>
      <c r="D47" s="20">
        <f>IF($D$63&gt;0,$E$23*$C$47/$D$63,"$0.00")</f>
        <v>0.9375</v>
      </c>
      <c r="E47" s="21">
        <f>$C$47*$E$23</f>
        <v>6050</v>
      </c>
      <c r="F47" s="14"/>
    </row>
    <row r="48" spans="2:6" ht="15.75" thickBot="1" x14ac:dyDescent="0.3">
      <c r="B48" s="12"/>
      <c r="C48" s="22"/>
      <c r="D48" s="22"/>
      <c r="E48" s="13"/>
      <c r="F48" s="14"/>
    </row>
    <row r="49" spans="2:6" ht="15.75" thickBot="1" x14ac:dyDescent="0.3">
      <c r="B49" s="12"/>
      <c r="C49" s="61" t="s">
        <v>17</v>
      </c>
      <c r="D49" s="59" t="s">
        <v>9</v>
      </c>
      <c r="E49" s="62" t="s">
        <v>31</v>
      </c>
      <c r="F49" s="14"/>
    </row>
    <row r="50" spans="2:6" ht="15.75" thickBot="1" x14ac:dyDescent="0.3">
      <c r="B50" s="12"/>
      <c r="C50" s="23">
        <f>$C$26*$D$66/2000</f>
        <v>52.8</v>
      </c>
      <c r="D50" s="24">
        <f>IF($D$66&gt;0,$E$26*$C$50/$D$66,"$0.00")</f>
        <v>0.9375</v>
      </c>
      <c r="E50" s="17">
        <f>$C$50*$E$26</f>
        <v>6600</v>
      </c>
      <c r="F50" s="14"/>
    </row>
    <row r="51" spans="2:6" x14ac:dyDescent="0.25">
      <c r="B51" s="12"/>
      <c r="C51" s="13"/>
      <c r="D51" s="13"/>
      <c r="E51" s="13"/>
      <c r="F51" s="14"/>
    </row>
    <row r="52" spans="2:6" ht="15" customHeight="1" x14ac:dyDescent="0.25">
      <c r="B52" s="84" t="s">
        <v>2</v>
      </c>
      <c r="C52" s="85"/>
      <c r="D52" s="85"/>
      <c r="E52" s="85"/>
      <c r="F52" s="86"/>
    </row>
    <row r="53" spans="2:6" ht="4.5" customHeight="1" thickBot="1" x14ac:dyDescent="0.3">
      <c r="B53" s="12"/>
      <c r="C53" s="13"/>
      <c r="D53" s="47"/>
      <c r="E53" s="13"/>
      <c r="F53" s="14"/>
    </row>
    <row r="54" spans="2:6" ht="15.75" thickBot="1" x14ac:dyDescent="0.3">
      <c r="B54" s="12"/>
      <c r="C54" s="61" t="s">
        <v>14</v>
      </c>
      <c r="D54" s="59" t="s">
        <v>10</v>
      </c>
      <c r="E54" s="60" t="s">
        <v>22</v>
      </c>
      <c r="F54" s="14"/>
    </row>
    <row r="55" spans="2:6" ht="15.75" thickBot="1" x14ac:dyDescent="0.3">
      <c r="B55" s="12"/>
      <c r="C55" s="25">
        <f>$C$31*$C$47*2000/(8.345*$D$31)</f>
        <v>1535.2623973495929</v>
      </c>
      <c r="D55" s="26">
        <f>IF($D$63&gt;0,$C$55/$D$63*$E$31,"$0.00")</f>
        <v>0.8326578084798929</v>
      </c>
      <c r="E55" s="27">
        <f>IF($C$55&gt;0,$C$55/$D$63,"0.000")</f>
        <v>0.23790223099425511</v>
      </c>
      <c r="F55" s="14"/>
    </row>
    <row r="56" spans="2:6" ht="15.75" thickBot="1" x14ac:dyDescent="0.3">
      <c r="B56" s="12"/>
      <c r="C56" s="13"/>
      <c r="D56" s="13"/>
      <c r="E56" s="13"/>
      <c r="F56" s="14"/>
    </row>
    <row r="57" spans="2:6" ht="15.75" thickBot="1" x14ac:dyDescent="0.3">
      <c r="B57" s="12"/>
      <c r="C57" s="61" t="s">
        <v>15</v>
      </c>
      <c r="D57" s="59" t="s">
        <v>9</v>
      </c>
      <c r="E57" s="60" t="s">
        <v>23</v>
      </c>
      <c r="F57" s="14"/>
    </row>
    <row r="58" spans="2:6" ht="15.75" thickBot="1" x14ac:dyDescent="0.3">
      <c r="B58" s="12"/>
      <c r="C58" s="25">
        <f>$C$31*$C$50*2000/(8.345*$D$31)</f>
        <v>1674.8317061995558</v>
      </c>
      <c r="D58" s="26">
        <f>IF($D$66&gt;0,$C$58/$D$66*$E$31,"$0.00")</f>
        <v>0.83265780847989279</v>
      </c>
      <c r="E58" s="27">
        <f>IF($C$58&gt;0,$C$58/$D$66,"0.000")</f>
        <v>0.23790223099425509</v>
      </c>
      <c r="F58" s="14"/>
    </row>
    <row r="59" spans="2:6" x14ac:dyDescent="0.25">
      <c r="B59" s="7"/>
      <c r="C59" s="5"/>
      <c r="D59" s="5"/>
      <c r="E59" s="5"/>
      <c r="F59" s="8"/>
    </row>
    <row r="60" spans="2:6" ht="15.75" x14ac:dyDescent="0.25">
      <c r="B60" s="7"/>
      <c r="C60" s="95" t="s">
        <v>58</v>
      </c>
      <c r="D60" s="95"/>
      <c r="E60" s="95"/>
      <c r="F60" s="8"/>
    </row>
    <row r="61" spans="2:6" ht="4.5" customHeight="1" thickBot="1" x14ac:dyDescent="0.3">
      <c r="B61" s="7"/>
      <c r="C61" s="5"/>
      <c r="D61" s="5"/>
      <c r="E61" s="5"/>
      <c r="F61" s="8"/>
    </row>
    <row r="62" spans="2:6" ht="15.75" thickBot="1" x14ac:dyDescent="0.3">
      <c r="B62" s="7"/>
      <c r="C62" s="78" t="s">
        <v>64</v>
      </c>
      <c r="D62" s="79"/>
      <c r="E62" s="80"/>
      <c r="F62" s="8"/>
    </row>
    <row r="63" spans="2:6" ht="15.75" thickBot="1" x14ac:dyDescent="0.3">
      <c r="B63" s="7"/>
      <c r="C63" s="5"/>
      <c r="D63" s="57">
        <f>$D$23+'Additions and Exclusions'!$F$24</f>
        <v>6453.333333333333</v>
      </c>
      <c r="E63" s="5"/>
      <c r="F63" s="8"/>
    </row>
    <row r="64" spans="2:6" ht="15.75" thickBot="1" x14ac:dyDescent="0.3">
      <c r="B64" s="7"/>
      <c r="C64" s="5"/>
      <c r="D64" s="5"/>
      <c r="E64" s="5"/>
      <c r="F64" s="8"/>
    </row>
    <row r="65" spans="2:6" ht="15.75" thickBot="1" x14ac:dyDescent="0.3">
      <c r="B65" s="7"/>
      <c r="C65" s="81" t="s">
        <v>57</v>
      </c>
      <c r="D65" s="82"/>
      <c r="E65" s="83"/>
      <c r="F65" s="8"/>
    </row>
    <row r="66" spans="2:6" ht="15.75" thickBot="1" x14ac:dyDescent="0.3">
      <c r="B66" s="7"/>
      <c r="C66" s="5"/>
      <c r="D66" s="57">
        <f>$D$26+'Additions and Exclusions'!$F$25</f>
        <v>7040</v>
      </c>
      <c r="E66" s="5"/>
      <c r="F66" s="8"/>
    </row>
    <row r="67" spans="2:6" ht="15.75" thickBot="1" x14ac:dyDescent="0.3">
      <c r="B67" s="28"/>
      <c r="C67" s="29"/>
      <c r="D67" s="30"/>
      <c r="E67" s="30"/>
      <c r="F67" s="31"/>
    </row>
  </sheetData>
  <sheetProtection algorithmName="SHA-512" hashValue="dgeEy+ge5vXHu4fEFnqwxCtaILh6Dhiuhuoc/zGk7CUKtHbQBfud1JXcPFjJq3L+uQFo/KOrKwMO5Mu0+rdSNA==" saltValue="ZWjcmLCtB1/aCU7FIDDAUA==" spinCount="100000" sheet="1" objects="1" scenarios="1"/>
  <mergeCells count="16">
    <mergeCell ref="C62:E62"/>
    <mergeCell ref="C65:E65"/>
    <mergeCell ref="B44:F44"/>
    <mergeCell ref="B52:F52"/>
    <mergeCell ref="C1:E1"/>
    <mergeCell ref="B5:F6"/>
    <mergeCell ref="B20:F20"/>
    <mergeCell ref="B28:F28"/>
    <mergeCell ref="B35:F36"/>
    <mergeCell ref="D8:E8"/>
    <mergeCell ref="D9:E9"/>
    <mergeCell ref="D10:E10"/>
    <mergeCell ref="D11:E11"/>
    <mergeCell ref="D12:E12"/>
    <mergeCell ref="C3:E3"/>
    <mergeCell ref="C60:E6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61"/>
  <sheetViews>
    <sheetView workbookViewId="0">
      <selection activeCell="D8" sqref="D8:E8"/>
    </sheetView>
  </sheetViews>
  <sheetFormatPr defaultRowHeight="15" x14ac:dyDescent="0.25"/>
  <cols>
    <col min="1" max="1" width="9.140625" customWidth="1"/>
    <col min="2" max="2" width="1.7109375" customWidth="1"/>
    <col min="3" max="5" width="25.7109375" customWidth="1"/>
    <col min="6" max="6" width="1.7109375" customWidth="1"/>
    <col min="8" max="8" width="10.7109375" customWidth="1"/>
    <col min="17" max="17" width="9.5703125" bestFit="1" customWidth="1"/>
  </cols>
  <sheetData>
    <row r="1" spans="2:6" ht="18.75" x14ac:dyDescent="0.3">
      <c r="C1" s="87" t="s">
        <v>25</v>
      </c>
      <c r="D1" s="87"/>
      <c r="E1" s="87"/>
    </row>
    <row r="3" spans="2:6" ht="203.1" customHeight="1" x14ac:dyDescent="0.25">
      <c r="C3" s="109" t="s">
        <v>60</v>
      </c>
      <c r="D3" s="109"/>
      <c r="E3" s="109"/>
    </row>
    <row r="4" spans="2:6" ht="15.75" thickBot="1" x14ac:dyDescent="0.3"/>
    <row r="5" spans="2:6" ht="10.5" customHeight="1" x14ac:dyDescent="0.25">
      <c r="B5" s="88" t="s">
        <v>0</v>
      </c>
      <c r="C5" s="89"/>
      <c r="D5" s="89"/>
      <c r="E5" s="89"/>
      <c r="F5" s="90"/>
    </row>
    <row r="6" spans="2:6" ht="10.5" customHeight="1" thickBot="1" x14ac:dyDescent="0.3">
      <c r="B6" s="91"/>
      <c r="C6" s="92"/>
      <c r="D6" s="92"/>
      <c r="E6" s="92"/>
      <c r="F6" s="93"/>
    </row>
    <row r="7" spans="2:6" ht="15.75" thickBot="1" x14ac:dyDescent="0.3">
      <c r="B7" s="7"/>
      <c r="C7" s="5"/>
      <c r="D7" s="5"/>
      <c r="E7" s="5"/>
      <c r="F7" s="8"/>
    </row>
    <row r="8" spans="2:6" x14ac:dyDescent="0.25">
      <c r="B8" s="7"/>
      <c r="C8" s="42" t="s">
        <v>38</v>
      </c>
      <c r="D8" s="103"/>
      <c r="E8" s="104"/>
      <c r="F8" s="8"/>
    </row>
    <row r="9" spans="2:6" x14ac:dyDescent="0.25">
      <c r="B9" s="7"/>
      <c r="C9" s="43" t="s">
        <v>39</v>
      </c>
      <c r="D9" s="105"/>
      <c r="E9" s="106"/>
      <c r="F9" s="8"/>
    </row>
    <row r="10" spans="2:6" x14ac:dyDescent="0.25">
      <c r="B10" s="7"/>
      <c r="C10" s="43" t="s">
        <v>40</v>
      </c>
      <c r="D10" s="105"/>
      <c r="E10" s="106"/>
      <c r="F10" s="8"/>
    </row>
    <row r="11" spans="2:6" x14ac:dyDescent="0.25">
      <c r="B11" s="7"/>
      <c r="C11" s="43" t="s">
        <v>41</v>
      </c>
      <c r="D11" s="105"/>
      <c r="E11" s="106"/>
      <c r="F11" s="8"/>
    </row>
    <row r="12" spans="2:6" ht="15.75" thickBot="1" x14ac:dyDescent="0.3">
      <c r="B12" s="7"/>
      <c r="C12" s="45" t="s">
        <v>42</v>
      </c>
      <c r="D12" s="107"/>
      <c r="E12" s="108"/>
      <c r="F12" s="8"/>
    </row>
    <row r="13" spans="2:6" ht="4.5" customHeight="1" x14ac:dyDescent="0.25">
      <c r="B13" s="7"/>
      <c r="C13" s="46"/>
      <c r="D13" s="44"/>
      <c r="E13" s="44"/>
      <c r="F13" s="8"/>
    </row>
    <row r="14" spans="2:6" ht="15" customHeight="1" x14ac:dyDescent="0.25">
      <c r="B14" s="94" t="s">
        <v>1</v>
      </c>
      <c r="C14" s="95"/>
      <c r="D14" s="95"/>
      <c r="E14" s="95"/>
      <c r="F14" s="96"/>
    </row>
    <row r="15" spans="2:6" ht="4.5" customHeight="1" thickBot="1" x14ac:dyDescent="0.3">
      <c r="B15" s="7"/>
      <c r="C15" s="5"/>
      <c r="D15" s="38"/>
      <c r="E15" s="5"/>
      <c r="F15" s="8"/>
    </row>
    <row r="16" spans="2:6" ht="15.75" thickBot="1" x14ac:dyDescent="0.3">
      <c r="B16" s="7"/>
      <c r="C16" s="4" t="s">
        <v>18</v>
      </c>
      <c r="D16" s="4" t="s">
        <v>6</v>
      </c>
      <c r="E16" s="4" t="s">
        <v>20</v>
      </c>
      <c r="F16" s="8"/>
    </row>
    <row r="17" spans="2:6" ht="15.75" thickBot="1" x14ac:dyDescent="0.3">
      <c r="B17" s="7"/>
      <c r="C17" s="32">
        <v>15</v>
      </c>
      <c r="D17" s="41">
        <v>7040</v>
      </c>
      <c r="E17" s="34">
        <v>125</v>
      </c>
      <c r="F17" s="8"/>
    </row>
    <row r="18" spans="2:6" ht="15.75" thickBot="1" x14ac:dyDescent="0.3">
      <c r="B18" s="7"/>
      <c r="C18" s="5"/>
      <c r="D18" s="5"/>
      <c r="E18" s="6"/>
      <c r="F18" s="8"/>
    </row>
    <row r="19" spans="2:6" ht="15.75" thickBot="1" x14ac:dyDescent="0.3">
      <c r="B19" s="7"/>
      <c r="C19" s="4" t="s">
        <v>19</v>
      </c>
      <c r="D19" s="4" t="s">
        <v>5</v>
      </c>
      <c r="E19" s="4" t="s">
        <v>21</v>
      </c>
      <c r="F19" s="8"/>
    </row>
    <row r="20" spans="2:6" ht="15.75" thickBot="1" x14ac:dyDescent="0.3">
      <c r="B20" s="7"/>
      <c r="C20" s="32">
        <v>15</v>
      </c>
      <c r="D20" s="41">
        <v>7040</v>
      </c>
      <c r="E20" s="34">
        <v>125</v>
      </c>
      <c r="F20" s="8"/>
    </row>
    <row r="21" spans="2:6" x14ac:dyDescent="0.25">
      <c r="B21" s="7"/>
      <c r="C21" s="5"/>
      <c r="D21" s="5"/>
      <c r="E21" s="6"/>
      <c r="F21" s="8"/>
    </row>
    <row r="22" spans="2:6" ht="15" customHeight="1" x14ac:dyDescent="0.25">
      <c r="B22" s="94" t="s">
        <v>2</v>
      </c>
      <c r="C22" s="95"/>
      <c r="D22" s="95"/>
      <c r="E22" s="95"/>
      <c r="F22" s="96"/>
    </row>
    <row r="23" spans="2:6" ht="4.5" customHeight="1" thickBot="1" x14ac:dyDescent="0.3">
      <c r="B23" s="7"/>
      <c r="C23" s="5"/>
      <c r="D23" s="38"/>
      <c r="E23" s="5"/>
      <c r="F23" s="8"/>
    </row>
    <row r="24" spans="2:6" ht="15.75" thickBot="1" x14ac:dyDescent="0.3">
      <c r="B24" s="7"/>
      <c r="C24" s="10" t="s">
        <v>24</v>
      </c>
      <c r="D24" s="4" t="s">
        <v>4</v>
      </c>
      <c r="E24" s="4" t="s">
        <v>3</v>
      </c>
      <c r="F24" s="8"/>
    </row>
    <row r="25" spans="2:6" ht="15.75" thickBot="1" x14ac:dyDescent="0.3">
      <c r="B25" s="7"/>
      <c r="C25" s="35">
        <v>0.13500000000000001</v>
      </c>
      <c r="D25" s="36">
        <v>1.02</v>
      </c>
      <c r="E25" s="37">
        <v>3.5</v>
      </c>
      <c r="F25" s="8"/>
    </row>
    <row r="26" spans="2:6" ht="15.75" thickBot="1" x14ac:dyDescent="0.3">
      <c r="B26" s="1"/>
      <c r="C26" s="2"/>
      <c r="D26" s="2"/>
      <c r="E26" s="2"/>
      <c r="F26" s="3"/>
    </row>
    <row r="27" spans="2:6" x14ac:dyDescent="0.25">
      <c r="B27" s="5"/>
      <c r="C27" s="5"/>
      <c r="D27" s="5"/>
      <c r="E27" s="5"/>
      <c r="F27" s="5"/>
    </row>
    <row r="28" spans="2:6" ht="15.75" thickBot="1" x14ac:dyDescent="0.3">
      <c r="B28" s="5"/>
      <c r="C28" s="5"/>
      <c r="D28" s="5"/>
      <c r="E28" s="5"/>
      <c r="F28" s="5"/>
    </row>
    <row r="29" spans="2:6" ht="10.5" customHeight="1" x14ac:dyDescent="0.25">
      <c r="B29" s="97" t="s">
        <v>7</v>
      </c>
      <c r="C29" s="98"/>
      <c r="D29" s="98"/>
      <c r="E29" s="98"/>
      <c r="F29" s="99"/>
    </row>
    <row r="30" spans="2:6" ht="10.5" customHeight="1" thickBot="1" x14ac:dyDescent="0.3">
      <c r="B30" s="100"/>
      <c r="C30" s="101"/>
      <c r="D30" s="101"/>
      <c r="E30" s="101"/>
      <c r="F30" s="102"/>
    </row>
    <row r="31" spans="2:6" ht="15.75" thickBot="1" x14ac:dyDescent="0.3">
      <c r="B31" s="54"/>
      <c r="C31" s="55"/>
      <c r="D31" s="55"/>
      <c r="E31" s="55"/>
      <c r="F31" s="56"/>
    </row>
    <row r="32" spans="2:6" ht="15.75" thickBot="1" x14ac:dyDescent="0.3">
      <c r="B32" s="12"/>
      <c r="C32" s="59" t="s">
        <v>8</v>
      </c>
      <c r="D32" s="59" t="s">
        <v>11</v>
      </c>
      <c r="E32" s="60" t="s">
        <v>12</v>
      </c>
      <c r="F32" s="14"/>
    </row>
    <row r="33" spans="2:6" ht="15.75" thickBot="1" x14ac:dyDescent="0.3">
      <c r="B33" s="12"/>
      <c r="C33" s="15">
        <f>$C$41+$C$44</f>
        <v>105.6</v>
      </c>
      <c r="D33" s="15">
        <f>$C$49+$C$52</f>
        <v>3349.6634123991116</v>
      </c>
      <c r="E33" s="16">
        <f>IF(SUM($C$36,$D$36)&gt;0,D41+D44+D49+D52,"$0.00")</f>
        <v>3.540315616959786</v>
      </c>
      <c r="F33" s="14"/>
    </row>
    <row r="34" spans="2:6" ht="15.75" customHeight="1" thickBot="1" x14ac:dyDescent="0.3">
      <c r="B34" s="12"/>
      <c r="C34" s="13"/>
      <c r="D34" s="13"/>
      <c r="E34" s="13"/>
      <c r="F34" s="14"/>
    </row>
    <row r="35" spans="2:6" ht="15.75" thickBot="1" x14ac:dyDescent="0.3">
      <c r="B35" s="12"/>
      <c r="C35" s="59" t="s">
        <v>32</v>
      </c>
      <c r="D35" s="59" t="s">
        <v>33</v>
      </c>
      <c r="E35" s="59" t="s">
        <v>13</v>
      </c>
      <c r="F35" s="14"/>
    </row>
    <row r="36" spans="2:6" ht="15.75" thickBot="1" x14ac:dyDescent="0.3">
      <c r="B36" s="12"/>
      <c r="C36" s="17">
        <f>$E$41+$E$44</f>
        <v>13200</v>
      </c>
      <c r="D36" s="17">
        <f>$E$25*$D$33</f>
        <v>11723.821943396892</v>
      </c>
      <c r="E36" s="18">
        <f>IF(SUM($C$36,$D$36)&gt;0,IF($D$60&gt;=$D$57,($C$36+$D$36)/($D$60/7040),IF($D$57&gt;$D$60,($C$36+$D$36)/($D$57/7040),"$0.00")),"$0.00")</f>
        <v>24923.821943396892</v>
      </c>
      <c r="F36" s="14"/>
    </row>
    <row r="37" spans="2:6" ht="15.75" customHeight="1" x14ac:dyDescent="0.25">
      <c r="B37" s="12"/>
      <c r="C37" s="13"/>
      <c r="D37" s="13"/>
      <c r="E37" s="13"/>
      <c r="F37" s="14"/>
    </row>
    <row r="38" spans="2:6" ht="15" customHeight="1" x14ac:dyDescent="0.25">
      <c r="B38" s="7"/>
      <c r="C38" s="85" t="s">
        <v>1</v>
      </c>
      <c r="D38" s="85"/>
      <c r="E38" s="85"/>
      <c r="F38" s="48"/>
    </row>
    <row r="39" spans="2:6" ht="4.5" customHeight="1" thickBot="1" x14ac:dyDescent="0.3">
      <c r="B39" s="12"/>
      <c r="C39" s="13"/>
      <c r="D39" s="47"/>
      <c r="E39" s="13"/>
      <c r="F39" s="14"/>
    </row>
    <row r="40" spans="2:6" ht="15.75" thickBot="1" x14ac:dyDescent="0.3">
      <c r="B40" s="12"/>
      <c r="C40" s="59" t="s">
        <v>16</v>
      </c>
      <c r="D40" s="61" t="s">
        <v>10</v>
      </c>
      <c r="E40" s="59" t="s">
        <v>30</v>
      </c>
      <c r="F40" s="14"/>
    </row>
    <row r="41" spans="2:6" ht="15.75" thickBot="1" x14ac:dyDescent="0.3">
      <c r="B41" s="12"/>
      <c r="C41" s="19">
        <f>$C$17*$D$57/2000</f>
        <v>52.8</v>
      </c>
      <c r="D41" s="20">
        <f>IF($D$57&gt;0,$E$17*$C$41/$D$57,"$0.00")</f>
        <v>0.9375</v>
      </c>
      <c r="E41" s="21">
        <f>$C$41*$E$17</f>
        <v>6600</v>
      </c>
      <c r="F41" s="14"/>
    </row>
    <row r="42" spans="2:6" ht="15.75" thickBot="1" x14ac:dyDescent="0.3">
      <c r="B42" s="12"/>
      <c r="C42" s="22"/>
      <c r="D42" s="22"/>
      <c r="E42" s="13"/>
      <c r="F42" s="14"/>
    </row>
    <row r="43" spans="2:6" ht="15.75" thickBot="1" x14ac:dyDescent="0.3">
      <c r="B43" s="12"/>
      <c r="C43" s="61" t="s">
        <v>17</v>
      </c>
      <c r="D43" s="59" t="s">
        <v>9</v>
      </c>
      <c r="E43" s="62" t="s">
        <v>31</v>
      </c>
      <c r="F43" s="14"/>
    </row>
    <row r="44" spans="2:6" ht="15.75" thickBot="1" x14ac:dyDescent="0.3">
      <c r="B44" s="12"/>
      <c r="C44" s="23">
        <f>$C$20*$D$60/2000</f>
        <v>52.8</v>
      </c>
      <c r="D44" s="24">
        <f>IF($D$60&gt;0,$E$20*$C$44/$D$60,"$0.00")</f>
        <v>0.9375</v>
      </c>
      <c r="E44" s="17">
        <f>$C$44*E20</f>
        <v>6600</v>
      </c>
      <c r="F44" s="14"/>
    </row>
    <row r="45" spans="2:6" x14ac:dyDescent="0.25">
      <c r="B45" s="12"/>
      <c r="C45" s="13"/>
      <c r="D45" s="13"/>
      <c r="E45" s="13"/>
      <c r="F45" s="14"/>
    </row>
    <row r="46" spans="2:6" ht="15" customHeight="1" x14ac:dyDescent="0.25">
      <c r="B46" s="7"/>
      <c r="C46" s="85" t="s">
        <v>2</v>
      </c>
      <c r="D46" s="85"/>
      <c r="E46" s="85"/>
      <c r="F46" s="48"/>
    </row>
    <row r="47" spans="2:6" ht="4.5" customHeight="1" thickBot="1" x14ac:dyDescent="0.3">
      <c r="B47" s="12"/>
      <c r="C47" s="13"/>
      <c r="D47" s="47"/>
      <c r="E47" s="13"/>
      <c r="F47" s="14"/>
    </row>
    <row r="48" spans="2:6" ht="15.75" thickBot="1" x14ac:dyDescent="0.3">
      <c r="B48" s="12"/>
      <c r="C48" s="61" t="s">
        <v>14</v>
      </c>
      <c r="D48" s="59" t="s">
        <v>10</v>
      </c>
      <c r="E48" s="60" t="s">
        <v>22</v>
      </c>
      <c r="F48" s="14"/>
    </row>
    <row r="49" spans="2:6" ht="15.75" thickBot="1" x14ac:dyDescent="0.3">
      <c r="B49" s="12"/>
      <c r="C49" s="25">
        <f>$C$25*$C$41*2000/(8.345*$D$25)</f>
        <v>1674.8317061995558</v>
      </c>
      <c r="D49" s="26">
        <f>IF($D$57&gt;0,$C$49/$D$57*$E$25,"$0.00")</f>
        <v>0.83265780847989279</v>
      </c>
      <c r="E49" s="27">
        <f>IF($C$49&gt;0,$C$49/$D$57,"0.000")</f>
        <v>0.23790223099425509</v>
      </c>
      <c r="F49" s="14"/>
    </row>
    <row r="50" spans="2:6" ht="15.75" thickBot="1" x14ac:dyDescent="0.3">
      <c r="B50" s="12"/>
      <c r="C50" s="13"/>
      <c r="D50" s="13"/>
      <c r="E50" s="13"/>
      <c r="F50" s="14"/>
    </row>
    <row r="51" spans="2:6" ht="15.75" thickBot="1" x14ac:dyDescent="0.3">
      <c r="B51" s="12"/>
      <c r="C51" s="61" t="s">
        <v>15</v>
      </c>
      <c r="D51" s="59" t="s">
        <v>9</v>
      </c>
      <c r="E51" s="60" t="s">
        <v>23</v>
      </c>
      <c r="F51" s="14"/>
    </row>
    <row r="52" spans="2:6" ht="15.75" thickBot="1" x14ac:dyDescent="0.3">
      <c r="B52" s="12"/>
      <c r="C52" s="25">
        <f>$C$25*$C$44*2000/(8.345*$D$25)</f>
        <v>1674.8317061995558</v>
      </c>
      <c r="D52" s="26">
        <f>IF($D$60&gt;0,$C$52/$D$60*$E$25,"$0.00")</f>
        <v>0.83265780847989279</v>
      </c>
      <c r="E52" s="27">
        <f>IF($C$52&gt;0,$C$52/$D$60,"0.000")</f>
        <v>0.23790223099425509</v>
      </c>
      <c r="F52" s="14"/>
    </row>
    <row r="53" spans="2:6" ht="15.75" customHeight="1" x14ac:dyDescent="0.25">
      <c r="B53" s="7"/>
      <c r="C53" s="5"/>
      <c r="D53" s="5"/>
      <c r="E53" s="5"/>
      <c r="F53" s="8"/>
    </row>
    <row r="54" spans="2:6" ht="15.75" customHeight="1" x14ac:dyDescent="0.25">
      <c r="B54" s="7"/>
      <c r="C54" s="95" t="s">
        <v>58</v>
      </c>
      <c r="D54" s="95"/>
      <c r="E54" s="95"/>
      <c r="F54" s="8"/>
    </row>
    <row r="55" spans="2:6" ht="4.5" customHeight="1" thickBot="1" x14ac:dyDescent="0.3">
      <c r="B55" s="7"/>
      <c r="C55" s="5"/>
      <c r="D55" s="5"/>
      <c r="E55" s="5"/>
      <c r="F55" s="8"/>
    </row>
    <row r="56" spans="2:6" ht="15.75" thickBot="1" x14ac:dyDescent="0.3">
      <c r="B56" s="7"/>
      <c r="C56" s="78" t="s">
        <v>64</v>
      </c>
      <c r="D56" s="79"/>
      <c r="E56" s="80"/>
      <c r="F56" s="8"/>
    </row>
    <row r="57" spans="2:6" ht="15.75" thickBot="1" x14ac:dyDescent="0.3">
      <c r="B57" s="7"/>
      <c r="C57" s="5"/>
      <c r="D57" s="57">
        <f>$D$17+'Additions and Exclusions'!$F$24</f>
        <v>7040</v>
      </c>
      <c r="E57" s="5"/>
      <c r="F57" s="8"/>
    </row>
    <row r="58" spans="2:6" ht="15.75" thickBot="1" x14ac:dyDescent="0.3">
      <c r="B58" s="7"/>
      <c r="C58" s="5"/>
      <c r="D58" s="5"/>
      <c r="E58" s="5"/>
      <c r="F58" s="8"/>
    </row>
    <row r="59" spans="2:6" ht="15.75" thickBot="1" x14ac:dyDescent="0.3">
      <c r="B59" s="7"/>
      <c r="C59" s="81" t="s">
        <v>57</v>
      </c>
      <c r="D59" s="82"/>
      <c r="E59" s="83"/>
      <c r="F59" s="8"/>
    </row>
    <row r="60" spans="2:6" ht="15.75" thickBot="1" x14ac:dyDescent="0.3">
      <c r="B60" s="7"/>
      <c r="C60" s="5"/>
      <c r="D60" s="57">
        <f>$D$20+'Additions and Exclusions'!F25</f>
        <v>7040</v>
      </c>
      <c r="E60" s="5"/>
      <c r="F60" s="8"/>
    </row>
    <row r="61" spans="2:6" ht="15.75" thickBot="1" x14ac:dyDescent="0.3">
      <c r="B61" s="28"/>
      <c r="C61" s="29" t="s">
        <v>36</v>
      </c>
      <c r="D61" s="30"/>
      <c r="E61" s="30"/>
      <c r="F61" s="31"/>
    </row>
  </sheetData>
  <sheetProtection algorithmName="SHA-512" hashValue="Cva9XLyCxZHk3116RZxdhCFFoIhBZdP9N+zqO9Fxx1YX8McqtliraamouDxSDX49vT6sxEiQxSrXYFLvo9a9og==" saltValue="dCOIiY2huSWZpODBNomljA==" spinCount="100000" sheet="1" objects="1" scenarios="1"/>
  <mergeCells count="16">
    <mergeCell ref="C1:E1"/>
    <mergeCell ref="B5:F6"/>
    <mergeCell ref="B14:F14"/>
    <mergeCell ref="B22:F22"/>
    <mergeCell ref="B29:F30"/>
    <mergeCell ref="D8:E8"/>
    <mergeCell ref="D9:E9"/>
    <mergeCell ref="D10:E10"/>
    <mergeCell ref="D11:E11"/>
    <mergeCell ref="D12:E12"/>
    <mergeCell ref="C3:E3"/>
    <mergeCell ref="C56:E56"/>
    <mergeCell ref="C59:E59"/>
    <mergeCell ref="C46:E46"/>
    <mergeCell ref="C38:E38"/>
    <mergeCell ref="C54:E5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29"/>
  <sheetViews>
    <sheetView workbookViewId="0">
      <selection activeCell="D8" sqref="D8"/>
    </sheetView>
  </sheetViews>
  <sheetFormatPr defaultRowHeight="15" x14ac:dyDescent="0.25"/>
  <cols>
    <col min="1" max="1" width="0.85546875" customWidth="1"/>
    <col min="2" max="2" width="2.7109375" customWidth="1"/>
    <col min="3" max="3" width="10.28515625" bestFit="1" customWidth="1"/>
    <col min="4" max="4" width="11.140625" customWidth="1"/>
    <col min="5" max="5" width="17.85546875" customWidth="1"/>
    <col min="8" max="8" width="18.5703125" bestFit="1" customWidth="1"/>
    <col min="9" max="9" width="36.7109375" customWidth="1"/>
    <col min="10" max="10" width="2.7109375" customWidth="1"/>
    <col min="19" max="19" width="14.28515625" bestFit="1" customWidth="1"/>
  </cols>
  <sheetData>
    <row r="1" spans="2:22" ht="4.5" customHeight="1" x14ac:dyDescent="0.25"/>
    <row r="2" spans="2:22" ht="18.75" x14ac:dyDescent="0.3">
      <c r="B2" s="5"/>
      <c r="C2" s="110" t="s">
        <v>61</v>
      </c>
      <c r="D2" s="110"/>
      <c r="E2" s="110"/>
      <c r="F2" s="110"/>
      <c r="G2" s="110"/>
      <c r="H2" s="110"/>
      <c r="I2" s="110"/>
      <c r="J2" s="5"/>
    </row>
    <row r="3" spans="2:22" ht="7.5" customHeight="1" x14ac:dyDescent="0.25">
      <c r="B3" s="5"/>
      <c r="C3" s="5"/>
      <c r="D3" s="5"/>
      <c r="E3" s="5"/>
      <c r="F3" s="5"/>
      <c r="G3" s="5"/>
      <c r="H3" s="5"/>
      <c r="I3" s="5"/>
      <c r="J3" s="5"/>
    </row>
    <row r="4" spans="2:22" ht="54" customHeight="1" x14ac:dyDescent="0.25">
      <c r="B4" s="5"/>
      <c r="C4" s="111" t="s">
        <v>62</v>
      </c>
      <c r="D4" s="111"/>
      <c r="E4" s="111"/>
      <c r="F4" s="111"/>
      <c r="G4" s="111"/>
      <c r="H4" s="111"/>
      <c r="I4" s="111"/>
      <c r="J4" s="5"/>
      <c r="O4" s="49"/>
      <c r="P4" s="49"/>
      <c r="Q4" s="49"/>
      <c r="R4" s="49"/>
      <c r="S4" s="49"/>
      <c r="T4" s="49"/>
      <c r="U4" s="49"/>
      <c r="V4" s="49"/>
    </row>
    <row r="5" spans="2:22" ht="7.5" customHeight="1" thickBot="1" x14ac:dyDescent="0.3">
      <c r="B5" s="5"/>
      <c r="C5" s="5"/>
      <c r="D5" s="53"/>
      <c r="E5" s="53"/>
      <c r="F5" s="53"/>
      <c r="G5" s="53"/>
      <c r="H5" s="53"/>
      <c r="I5" s="53"/>
      <c r="J5" s="5"/>
      <c r="O5" s="49"/>
      <c r="P5" s="49"/>
      <c r="Q5" s="49"/>
      <c r="R5" s="49"/>
      <c r="S5" s="49"/>
      <c r="T5" s="49"/>
      <c r="U5" s="49"/>
      <c r="V5" s="49"/>
    </row>
    <row r="6" spans="2:22" ht="15.75" thickBot="1" x14ac:dyDescent="0.3">
      <c r="B6" s="50"/>
      <c r="C6" s="51"/>
      <c r="D6" s="51"/>
      <c r="E6" s="51"/>
      <c r="F6" s="51"/>
      <c r="G6" s="51"/>
      <c r="H6" s="51"/>
      <c r="I6" s="51"/>
      <c r="J6" s="52"/>
      <c r="O6" s="49"/>
      <c r="P6" s="49"/>
      <c r="Q6" s="49"/>
      <c r="R6" s="49"/>
      <c r="S6" s="49"/>
      <c r="T6" s="49"/>
      <c r="U6" s="49"/>
      <c r="V6" s="49"/>
    </row>
    <row r="7" spans="2:22" x14ac:dyDescent="0.25">
      <c r="B7" s="7"/>
      <c r="C7" s="64" t="s">
        <v>63</v>
      </c>
      <c r="D7" s="65" t="s">
        <v>43</v>
      </c>
      <c r="E7" s="65" t="s">
        <v>44</v>
      </c>
      <c r="F7" s="65" t="s">
        <v>45</v>
      </c>
      <c r="G7" s="65" t="s">
        <v>46</v>
      </c>
      <c r="H7" s="65" t="s">
        <v>55</v>
      </c>
      <c r="I7" s="66" t="s">
        <v>49</v>
      </c>
      <c r="J7" s="8"/>
      <c r="O7" s="49"/>
      <c r="P7" s="49"/>
      <c r="Q7" s="49"/>
      <c r="R7" s="49"/>
      <c r="S7" s="49"/>
      <c r="T7" s="49"/>
      <c r="U7" s="49"/>
      <c r="V7" s="49"/>
    </row>
    <row r="8" spans="2:22" x14ac:dyDescent="0.25">
      <c r="B8" s="7"/>
      <c r="C8" s="67" t="str">
        <f>IF(F8&lt;&gt;0,"A","")</f>
        <v/>
      </c>
      <c r="D8" s="74"/>
      <c r="E8" s="74"/>
      <c r="F8" s="63">
        <f>IFERROR(IF(G8="Exclusion",-D8*E8/9,D8*E8/9),"")</f>
        <v>0</v>
      </c>
      <c r="G8" s="74"/>
      <c r="H8" s="74" t="s">
        <v>54</v>
      </c>
      <c r="I8" s="76"/>
      <c r="J8" s="8"/>
      <c r="O8" s="49"/>
      <c r="P8" s="49"/>
      <c r="Q8" s="49"/>
      <c r="R8" s="49"/>
      <c r="S8" s="49" t="str">
        <f>""</f>
        <v/>
      </c>
      <c r="T8" s="49" t="str">
        <f>""</f>
        <v/>
      </c>
      <c r="U8" s="49"/>
      <c r="V8" s="49"/>
    </row>
    <row r="9" spans="2:22" x14ac:dyDescent="0.25">
      <c r="B9" s="7"/>
      <c r="C9" s="67" t="str">
        <f>IF(F9&lt;&gt;0,"B","")</f>
        <v/>
      </c>
      <c r="D9" s="74"/>
      <c r="E9" s="74"/>
      <c r="F9" s="63">
        <f t="shared" ref="F9:F22" si="0">IFERROR(IF(G9="Exclusion",-D9*E9/9,D9*E9/9),"")</f>
        <v>0</v>
      </c>
      <c r="G9" s="74"/>
      <c r="H9" s="74" t="s">
        <v>54</v>
      </c>
      <c r="I9" s="76"/>
      <c r="J9" s="8"/>
      <c r="O9" s="49"/>
      <c r="P9" s="49"/>
      <c r="Q9" s="49"/>
      <c r="R9" s="58" t="s">
        <v>47</v>
      </c>
      <c r="S9" s="58" t="s">
        <v>50</v>
      </c>
      <c r="U9" s="49"/>
      <c r="V9" s="49"/>
    </row>
    <row r="10" spans="2:22" x14ac:dyDescent="0.25">
      <c r="B10" s="7"/>
      <c r="C10" s="67" t="str">
        <f>IF(F10&lt;&gt;0,"C","")</f>
        <v/>
      </c>
      <c r="D10" s="74"/>
      <c r="E10" s="74"/>
      <c r="F10" s="63">
        <f t="shared" si="0"/>
        <v>0</v>
      </c>
      <c r="G10" s="74"/>
      <c r="H10" s="74" t="s">
        <v>54</v>
      </c>
      <c r="I10" s="76"/>
      <c r="J10" s="8"/>
      <c r="O10" s="49"/>
      <c r="P10" s="49"/>
      <c r="Q10" s="49"/>
      <c r="R10" s="58" t="s">
        <v>48</v>
      </c>
      <c r="S10" s="58" t="s">
        <v>51</v>
      </c>
      <c r="U10" s="49"/>
      <c r="V10" s="49"/>
    </row>
    <row r="11" spans="2:22" x14ac:dyDescent="0.25">
      <c r="B11" s="7"/>
      <c r="C11" s="67" t="str">
        <f>IF(F11&lt;&gt;0,"D","")</f>
        <v/>
      </c>
      <c r="D11" s="74"/>
      <c r="E11" s="74"/>
      <c r="F11" s="63">
        <f t="shared" si="0"/>
        <v>0</v>
      </c>
      <c r="G11" s="74"/>
      <c r="H11" s="74" t="s">
        <v>54</v>
      </c>
      <c r="I11" s="76"/>
      <c r="J11" s="8"/>
      <c r="O11" s="49"/>
      <c r="P11" s="49"/>
      <c r="Q11" s="49"/>
      <c r="R11" s="58"/>
      <c r="S11" s="58" t="s">
        <v>56</v>
      </c>
      <c r="T11" s="49"/>
      <c r="U11" s="49"/>
      <c r="V11" s="49"/>
    </row>
    <row r="12" spans="2:22" x14ac:dyDescent="0.25">
      <c r="B12" s="7"/>
      <c r="C12" s="67" t="str">
        <f>IF(F12&lt;&gt;0,"E","")</f>
        <v/>
      </c>
      <c r="D12" s="74"/>
      <c r="E12" s="74"/>
      <c r="F12" s="63">
        <f t="shared" si="0"/>
        <v>0</v>
      </c>
      <c r="G12" s="74"/>
      <c r="H12" s="74" t="s">
        <v>54</v>
      </c>
      <c r="I12" s="76"/>
      <c r="J12" s="8"/>
      <c r="O12" s="49"/>
      <c r="P12" s="49"/>
      <c r="Q12" s="49"/>
      <c r="R12" s="49"/>
      <c r="S12" s="49"/>
      <c r="T12" s="49"/>
      <c r="U12" s="49"/>
      <c r="V12" s="49"/>
    </row>
    <row r="13" spans="2:22" x14ac:dyDescent="0.25">
      <c r="B13" s="7"/>
      <c r="C13" s="67" t="str">
        <f>IF(F13&lt;&gt;0,"F","")</f>
        <v/>
      </c>
      <c r="D13" s="74"/>
      <c r="E13" s="74"/>
      <c r="F13" s="63">
        <f t="shared" si="0"/>
        <v>0</v>
      </c>
      <c r="G13" s="74"/>
      <c r="H13" s="74" t="s">
        <v>54</v>
      </c>
      <c r="I13" s="76"/>
      <c r="J13" s="8"/>
      <c r="O13" s="49"/>
      <c r="P13" s="49"/>
      <c r="Q13" s="49"/>
      <c r="R13" s="49"/>
      <c r="S13" s="49"/>
      <c r="T13" s="49"/>
      <c r="U13" s="49"/>
      <c r="V13" s="49"/>
    </row>
    <row r="14" spans="2:22" x14ac:dyDescent="0.25">
      <c r="B14" s="7"/>
      <c r="C14" s="67" t="str">
        <f>IF(F14&lt;&gt;0,"G","")</f>
        <v/>
      </c>
      <c r="D14" s="74"/>
      <c r="E14" s="74"/>
      <c r="F14" s="63">
        <f t="shared" si="0"/>
        <v>0</v>
      </c>
      <c r="G14" s="74"/>
      <c r="H14" s="74" t="s">
        <v>54</v>
      </c>
      <c r="I14" s="76"/>
      <c r="J14" s="8"/>
      <c r="O14" s="49"/>
      <c r="P14" s="49"/>
      <c r="Q14" s="49"/>
      <c r="R14" s="49"/>
      <c r="S14" s="49"/>
      <c r="T14" s="49"/>
      <c r="U14" s="49"/>
      <c r="V14" s="49"/>
    </row>
    <row r="15" spans="2:22" x14ac:dyDescent="0.25">
      <c r="B15" s="7"/>
      <c r="C15" s="67" t="str">
        <f>IF(F15&lt;&gt;0,"H","")</f>
        <v/>
      </c>
      <c r="D15" s="74"/>
      <c r="E15" s="74"/>
      <c r="F15" s="63">
        <f t="shared" si="0"/>
        <v>0</v>
      </c>
      <c r="G15" s="74"/>
      <c r="H15" s="74" t="s">
        <v>54</v>
      </c>
      <c r="I15" s="76"/>
      <c r="J15" s="8"/>
      <c r="O15" s="49"/>
      <c r="P15" s="49"/>
      <c r="Q15" s="49"/>
      <c r="R15" s="49"/>
      <c r="S15" s="49"/>
      <c r="T15" s="49"/>
      <c r="U15" s="49"/>
      <c r="V15" s="49"/>
    </row>
    <row r="16" spans="2:22" x14ac:dyDescent="0.25">
      <c r="B16" s="7"/>
      <c r="C16" s="67" t="str">
        <f>IF(F16&lt;&gt;0,"I","")</f>
        <v/>
      </c>
      <c r="D16" s="74"/>
      <c r="E16" s="74"/>
      <c r="F16" s="63">
        <f t="shared" si="0"/>
        <v>0</v>
      </c>
      <c r="G16" s="74"/>
      <c r="H16" s="74" t="s">
        <v>54</v>
      </c>
      <c r="I16" s="76"/>
      <c r="J16" s="8"/>
      <c r="O16" s="49"/>
      <c r="P16" s="49"/>
      <c r="Q16" s="49"/>
      <c r="R16" s="49"/>
      <c r="S16" s="49"/>
      <c r="T16" s="49"/>
      <c r="U16" s="49"/>
      <c r="V16" s="49"/>
    </row>
    <row r="17" spans="2:22" x14ac:dyDescent="0.25">
      <c r="B17" s="7"/>
      <c r="C17" s="67" t="str">
        <f>IF(F17&lt;&gt;0,"J","")</f>
        <v/>
      </c>
      <c r="D17" s="74"/>
      <c r="E17" s="74"/>
      <c r="F17" s="63">
        <f t="shared" si="0"/>
        <v>0</v>
      </c>
      <c r="G17" s="74"/>
      <c r="H17" s="74" t="s">
        <v>54</v>
      </c>
      <c r="I17" s="76"/>
      <c r="J17" s="8"/>
      <c r="O17" s="49"/>
      <c r="P17" s="49"/>
      <c r="Q17" s="49"/>
      <c r="R17" s="49"/>
      <c r="S17" s="49"/>
      <c r="T17" s="49"/>
      <c r="U17" s="49"/>
      <c r="V17" s="49"/>
    </row>
    <row r="18" spans="2:22" x14ac:dyDescent="0.25">
      <c r="B18" s="7"/>
      <c r="C18" s="67" t="str">
        <f>IF(F18&lt;&gt;0,"K","")</f>
        <v/>
      </c>
      <c r="D18" s="74"/>
      <c r="E18" s="74"/>
      <c r="F18" s="63">
        <f t="shared" si="0"/>
        <v>0</v>
      </c>
      <c r="G18" s="74"/>
      <c r="H18" s="74" t="s">
        <v>54</v>
      </c>
      <c r="I18" s="76"/>
      <c r="J18" s="8"/>
      <c r="O18" s="49"/>
      <c r="P18" s="49"/>
      <c r="Q18" s="49"/>
      <c r="R18" s="49"/>
      <c r="S18" s="49"/>
      <c r="T18" s="49"/>
      <c r="U18" s="49"/>
      <c r="V18" s="49"/>
    </row>
    <row r="19" spans="2:22" x14ac:dyDescent="0.25">
      <c r="B19" s="7"/>
      <c r="C19" s="67" t="str">
        <f>IF(F19&lt;&gt;0,"L","")</f>
        <v/>
      </c>
      <c r="D19" s="74"/>
      <c r="E19" s="74"/>
      <c r="F19" s="63">
        <f t="shared" si="0"/>
        <v>0</v>
      </c>
      <c r="G19" s="74"/>
      <c r="H19" s="74" t="s">
        <v>54</v>
      </c>
      <c r="I19" s="76"/>
      <c r="J19" s="8"/>
      <c r="O19" s="49"/>
      <c r="P19" s="49"/>
      <c r="Q19" s="49"/>
      <c r="R19" s="49"/>
      <c r="S19" s="49"/>
      <c r="T19" s="49"/>
      <c r="U19" s="49"/>
      <c r="V19" s="49"/>
    </row>
    <row r="20" spans="2:22" x14ac:dyDescent="0.25">
      <c r="B20" s="7"/>
      <c r="C20" s="67" t="str">
        <f>IF(F20&lt;&gt;0,"M","")</f>
        <v/>
      </c>
      <c r="D20" s="74"/>
      <c r="E20" s="74"/>
      <c r="F20" s="63">
        <f t="shared" si="0"/>
        <v>0</v>
      </c>
      <c r="G20" s="74"/>
      <c r="H20" s="74" t="s">
        <v>54</v>
      </c>
      <c r="I20" s="76"/>
      <c r="J20" s="8"/>
      <c r="O20" s="49"/>
      <c r="P20" s="49"/>
      <c r="Q20" s="49"/>
      <c r="R20" s="49"/>
      <c r="S20" s="49"/>
      <c r="T20" s="49"/>
      <c r="U20" s="49"/>
      <c r="V20" s="49"/>
    </row>
    <row r="21" spans="2:22" x14ac:dyDescent="0.25">
      <c r="B21" s="7"/>
      <c r="C21" s="67" t="str">
        <f>IF(F21&lt;&gt;0,"N","")</f>
        <v/>
      </c>
      <c r="D21" s="74"/>
      <c r="E21" s="74"/>
      <c r="F21" s="63">
        <f t="shared" si="0"/>
        <v>0</v>
      </c>
      <c r="G21" s="74"/>
      <c r="H21" s="74" t="s">
        <v>54</v>
      </c>
      <c r="I21" s="76"/>
      <c r="J21" s="8"/>
      <c r="O21" s="49"/>
      <c r="P21" s="49"/>
      <c r="Q21" s="49"/>
      <c r="R21" s="49"/>
      <c r="S21" s="49"/>
      <c r="T21" s="49"/>
      <c r="U21" s="49"/>
      <c r="V21" s="49"/>
    </row>
    <row r="22" spans="2:22" ht="15.75" thickBot="1" x14ac:dyDescent="0.3">
      <c r="B22" s="7"/>
      <c r="C22" s="68" t="str">
        <f>IF(F22&lt;&gt;0,"O","")</f>
        <v/>
      </c>
      <c r="D22" s="75"/>
      <c r="E22" s="75"/>
      <c r="F22" s="69">
        <f t="shared" si="0"/>
        <v>0</v>
      </c>
      <c r="G22" s="75"/>
      <c r="H22" s="75" t="s">
        <v>54</v>
      </c>
      <c r="I22" s="77"/>
      <c r="J22" s="8"/>
      <c r="O22" s="49"/>
      <c r="P22" s="49"/>
      <c r="Q22" s="49"/>
      <c r="R22" s="49"/>
      <c r="S22" s="49"/>
      <c r="T22" s="49"/>
      <c r="U22" s="49"/>
      <c r="V22" s="49"/>
    </row>
    <row r="23" spans="2:22" ht="15.75" thickBot="1" x14ac:dyDescent="0.3">
      <c r="B23" s="7"/>
      <c r="C23" s="5"/>
      <c r="D23" s="5"/>
      <c r="E23" s="5"/>
      <c r="F23" s="5"/>
      <c r="G23" s="5"/>
      <c r="H23" s="5"/>
      <c r="I23" s="5"/>
      <c r="J23" s="8"/>
      <c r="O23" s="49"/>
      <c r="P23" s="49"/>
      <c r="Q23" s="49"/>
      <c r="R23" s="49"/>
      <c r="S23" s="49"/>
      <c r="T23" s="49"/>
      <c r="U23" s="49"/>
      <c r="V23" s="49"/>
    </row>
    <row r="24" spans="2:22" ht="45" x14ac:dyDescent="0.25">
      <c r="B24" s="7"/>
      <c r="C24" s="5"/>
      <c r="D24" s="5"/>
      <c r="E24" s="70" t="s">
        <v>52</v>
      </c>
      <c r="F24" s="71">
        <f t="array" ref="F24">SUM(IF($H$8:$H$22="Scratch Course", $F$8:$F$22, IF($H$8:$H$22="Both Lifts", $F$8:$F$22,"")))</f>
        <v>0</v>
      </c>
      <c r="G24" s="5"/>
      <c r="H24" s="5"/>
      <c r="I24" s="5"/>
      <c r="J24" s="8"/>
      <c r="O24" s="49"/>
      <c r="P24" s="49"/>
      <c r="Q24" s="49"/>
      <c r="R24" s="49"/>
      <c r="S24" s="49"/>
      <c r="T24" s="49"/>
      <c r="U24" s="49"/>
      <c r="V24" s="49"/>
    </row>
    <row r="25" spans="2:22" ht="45.75" thickBot="1" x14ac:dyDescent="0.3">
      <c r="B25" s="7"/>
      <c r="C25" s="5"/>
      <c r="D25" s="5"/>
      <c r="E25" s="72" t="s">
        <v>53</v>
      </c>
      <c r="F25" s="73">
        <f t="array" ref="F25">SUM(IF($H$8:$H$22="Surface Course", $F$8:$F$22, IF($H$8:$H$22="Both Lifts", $F$8:$F$22,"")))</f>
        <v>0</v>
      </c>
      <c r="G25" s="5"/>
      <c r="H25" s="5"/>
      <c r="I25" s="5"/>
      <c r="J25" s="8"/>
      <c r="O25" s="49"/>
      <c r="P25" s="49"/>
      <c r="Q25" s="49"/>
      <c r="R25" s="49"/>
      <c r="S25" s="49"/>
      <c r="T25" s="49"/>
      <c r="U25" s="49"/>
      <c r="V25" s="49"/>
    </row>
    <row r="26" spans="2:22" ht="15.75" thickBot="1" x14ac:dyDescent="0.3">
      <c r="B26" s="1"/>
      <c r="C26" s="2"/>
      <c r="D26" s="2"/>
      <c r="E26" s="2"/>
      <c r="F26" s="2"/>
      <c r="G26" s="2"/>
      <c r="H26" s="2"/>
      <c r="I26" s="2"/>
      <c r="J26" s="3"/>
      <c r="O26" s="49"/>
      <c r="P26" s="49"/>
      <c r="Q26" s="49"/>
      <c r="R26" s="49"/>
      <c r="S26" s="49"/>
      <c r="T26" s="49"/>
      <c r="U26" s="49"/>
      <c r="V26" s="49"/>
    </row>
    <row r="27" spans="2:22" ht="7.5" customHeight="1" x14ac:dyDescent="0.25">
      <c r="B27" s="5"/>
      <c r="C27" s="5"/>
      <c r="D27" s="5"/>
      <c r="E27" s="5"/>
      <c r="F27" s="5"/>
      <c r="G27" s="5"/>
      <c r="H27" s="5"/>
      <c r="I27" s="5"/>
      <c r="J27" s="5"/>
      <c r="O27" s="49"/>
      <c r="P27" s="49"/>
      <c r="Q27" s="49"/>
      <c r="R27" s="49"/>
      <c r="S27" s="49"/>
      <c r="T27" s="49"/>
      <c r="U27" s="49"/>
      <c r="V27" s="49"/>
    </row>
    <row r="28" spans="2:22" x14ac:dyDescent="0.25">
      <c r="B28" s="5"/>
      <c r="C28" t="s">
        <v>65</v>
      </c>
      <c r="D28" s="5"/>
      <c r="E28" s="5"/>
      <c r="F28" s="5"/>
      <c r="G28" s="5"/>
      <c r="H28" s="5"/>
      <c r="I28" s="5"/>
      <c r="J28" s="5"/>
      <c r="O28" s="49"/>
      <c r="P28" s="49"/>
      <c r="Q28" s="49"/>
      <c r="R28" s="49"/>
      <c r="S28" s="49"/>
      <c r="T28" s="49"/>
      <c r="U28" s="49"/>
      <c r="V28" s="49"/>
    </row>
    <row r="29" spans="2:22" x14ac:dyDescent="0.25">
      <c r="B29" s="5"/>
      <c r="C29" s="5"/>
      <c r="D29" s="5"/>
      <c r="E29" s="5"/>
      <c r="F29" s="5"/>
      <c r="G29" s="5"/>
      <c r="H29" s="5"/>
      <c r="I29" s="5"/>
      <c r="J29" s="5"/>
    </row>
  </sheetData>
  <sheetProtection algorithmName="SHA-512" hashValue="6KuAKBzD+0opx3DNsBZkbnEsWcOZoXdUePCxBknvacbPXgtU8GI9G2f/rwoQFhPhnySw0SAILWJ9BlugWWgkWg==" saltValue="L4Vj9eRlPwfTj4Fxsc3p7Q==" spinCount="100000" sheet="1" objects="1" scenarios="1"/>
  <mergeCells count="2">
    <mergeCell ref="C2:I2"/>
    <mergeCell ref="C4:I4"/>
  </mergeCells>
  <dataValidations count="2">
    <dataValidation type="list" allowBlank="1" showInputMessage="1" showErrorMessage="1" sqref="G8:G22">
      <formula1>$R$8:$R$10</formula1>
    </dataValidation>
    <dataValidation type="list" allowBlank="1" showInputMessage="1" showErrorMessage="1" sqref="H8:H22">
      <formula1>$S$8:$S$11</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By Length and Width</vt:lpstr>
      <vt:lpstr>By Square Yard</vt:lpstr>
      <vt:lpstr>Additions and Exclusions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2019-08-06T15:02:37Z</dcterms:modified>
</cp:coreProperties>
</file>